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C:\Users\CECUDI LOS CHILES\Desktop\Departamento Presupuesto\Presupuesto 2021\"/>
    </mc:Choice>
  </mc:AlternateContent>
  <xr:revisionPtr revIDLastSave="0" documentId="13_ncr:1_{FDF896B4-9327-48C5-9BEE-5020E58EDFB5}" xr6:coauthVersionLast="45" xr6:coauthVersionMax="45" xr10:uidLastSave="{00000000-0000-0000-0000-000000000000}"/>
  <bookViews>
    <workbookView xWindow="-120" yWindow="-120" windowWidth="20730" windowHeight="11160" tabRatio="952" activeTab="2" xr2:uid="{00000000-000D-0000-FFFF-FFFF00000000}"/>
  </bookViews>
  <sheets>
    <sheet name="Indice" sheetId="21" r:id="rId1"/>
    <sheet name="Ingreso Interno" sheetId="2" state="hidden" r:id="rId2"/>
    <sheet name="Ingreso Contraloría" sheetId="1" r:id="rId3"/>
    <sheet name="Distribucion Programas I" sheetId="13" state="hidden" r:id="rId4"/>
    <sheet name="Distribucion Programas II " sheetId="14" state="hidden" r:id="rId5"/>
    <sheet name="Distribucion Programas III UTGV" sheetId="15" state="hidden" r:id="rId6"/>
    <sheet name="Distrib Programas III Poyectos" sheetId="23" state="hidden" r:id="rId7"/>
    <sheet name="Distrib programa IV Proyectos" sheetId="25" state="hidden" r:id="rId8"/>
    <sheet name="Egresos Interno" sheetId="24" state="hidden" r:id="rId9"/>
    <sheet name="Egresos X Partida" sheetId="26" r:id="rId10"/>
    <sheet name="Programas" sheetId="10" state="hidden" r:id="rId11"/>
    <sheet name="Egresos Contraloría" sheetId="8" state="hidden" r:id="rId12"/>
    <sheet name="Egresos Detallado" sheetId="27" r:id="rId13"/>
    <sheet name="O y A" sheetId="28" r:id="rId14"/>
    <sheet name="Origen y Aplicacion de Recursos" sheetId="3" state="hidden" r:id="rId15"/>
    <sheet name="Estructura organizacional" sheetId="29" r:id="rId16"/>
    <sheet name="Salario Alcalde" sheetId="5" r:id="rId17"/>
    <sheet name="Relacion de Puestos" sheetId="4" r:id="rId18"/>
    <sheet name="Relacion de Puestos Vial" sheetId="20" r:id="rId19"/>
    <sheet name="Relacion de puestos CECCUDI" sheetId="31" r:id="rId20"/>
    <sheet name="Deuda Interna" sheetId="6" r:id="rId21"/>
    <sheet name="Tranferencias" sheetId="7" state="hidden" r:id="rId22"/>
    <sheet name="Gastos de Viaje y Transporte " sheetId="18" state="hidden" r:id="rId23"/>
    <sheet name="Hoja1" sheetId="30"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Hlt48961279" localSheetId="6">'Distrib Programas III Poyectos'!#REF!</definedName>
    <definedName name="_Hlt48961279" localSheetId="3">'Distribucion Programas I'!#REF!</definedName>
    <definedName name="_Hlt48961279" localSheetId="4">'Distribucion Programas II '!#REF!</definedName>
    <definedName name="_Hlt48961279" localSheetId="5">'Distribucion Programas III UTGV'!#REF!</definedName>
    <definedName name="_Hlt507405843" localSheetId="6">'Distrib Programas III Poyectos'!#REF!</definedName>
    <definedName name="_Hlt507405843" localSheetId="3">'Distribucion Programas I'!#REF!</definedName>
    <definedName name="_Hlt507405843" localSheetId="4">'Distribucion Programas II '!#REF!</definedName>
    <definedName name="_Hlt507405843" localSheetId="5">'Distribucion Programas III UTGV'!#REF!</definedName>
    <definedName name="_Hlt57099241" localSheetId="6">'Distrib Programas III Poyectos'!#REF!</definedName>
    <definedName name="_Hlt57099241" localSheetId="3">'Distribucion Programas I'!#REF!</definedName>
    <definedName name="_Hlt57099241" localSheetId="4">'Distribucion Programas II '!#REF!</definedName>
    <definedName name="_Hlt57099241" localSheetId="5">'Distribucion Programas III UTGV'!#REF!</definedName>
    <definedName name="_Hlt57099247" localSheetId="6">'Distrib Programas III Poyectos'!#REF!</definedName>
    <definedName name="_Hlt57099247" localSheetId="3">'Distribucion Programas I'!#REF!</definedName>
    <definedName name="_Hlt57099247" localSheetId="4">'Distribucion Programas II '!#REF!</definedName>
    <definedName name="_Hlt57099247" localSheetId="5">'Distribucion Programas III UTGV'!#REF!</definedName>
    <definedName name="_Hlt57099250" localSheetId="6">'Distrib Programas III Poyectos'!#REF!</definedName>
    <definedName name="_Hlt57099250" localSheetId="3">'Distribucion Programas I'!#REF!</definedName>
    <definedName name="_Hlt57099250" localSheetId="4">'Distribucion Programas II '!#REF!</definedName>
    <definedName name="_Hlt57099250" localSheetId="5">'Distribucion Programas III UTGV'!#REF!</definedName>
    <definedName name="_Hlt57100559" localSheetId="6">'Distrib Programas III Poyectos'!#REF!</definedName>
    <definedName name="_Hlt57100559" localSheetId="3">'Distribucion Programas I'!#REF!</definedName>
    <definedName name="_Hlt57100559" localSheetId="4">'Distribucion Programas II '!#REF!</definedName>
    <definedName name="_Hlt57100559" localSheetId="5">'Distribucion Programas III UTGV'!#REF!</definedName>
    <definedName name="_Hlt57100562" localSheetId="6">'Distrib Programas III Poyectos'!#REF!</definedName>
    <definedName name="_Hlt57100562" localSheetId="3">'Distribucion Programas I'!#REF!</definedName>
    <definedName name="_Hlt57100562" localSheetId="4">'Distribucion Programas II '!#REF!</definedName>
    <definedName name="_Hlt57100562" localSheetId="5">'Distribucion Programas III UTGV'!#REF!</definedName>
    <definedName name="_Hlt57100565" localSheetId="6">'Distrib Programas III Poyectos'!#REF!</definedName>
    <definedName name="_Hlt57100565" localSheetId="3">'Distribucion Programas I'!#REF!</definedName>
    <definedName name="_Hlt57100565" localSheetId="4">'Distribucion Programas II '!#REF!</definedName>
    <definedName name="_Hlt57100565" localSheetId="5">'Distribucion Programas III UTGV'!#REF!</definedName>
    <definedName name="_Hlt57100569" localSheetId="6">'Distrib Programas III Poyectos'!#REF!</definedName>
    <definedName name="_Hlt57100569" localSheetId="3">'Distribucion Programas I'!#REF!</definedName>
    <definedName name="_Hlt57100569" localSheetId="4">'Distribucion Programas II '!#REF!</definedName>
    <definedName name="_Hlt57100569" localSheetId="5">'Distribucion Programas III UTGV'!#REF!</definedName>
    <definedName name="_Hlt57100575" localSheetId="6">'Distrib Programas III Poyectos'!#REF!</definedName>
    <definedName name="_Hlt57100575" localSheetId="3">'Distribucion Programas I'!#REF!</definedName>
    <definedName name="_Hlt57100575" localSheetId="4">'Distribucion Programas II '!#REF!</definedName>
    <definedName name="_Hlt57100575" localSheetId="5">'Distribucion Programas III UTGV'!#REF!</definedName>
    <definedName name="_Hlt57100581" localSheetId="6">'Distrib Programas III Poyectos'!#REF!</definedName>
    <definedName name="_Hlt57100581" localSheetId="3">'Distribucion Programas I'!#REF!</definedName>
    <definedName name="_Hlt57100581" localSheetId="4">'Distribucion Programas II '!#REF!</definedName>
    <definedName name="_Hlt57100581" localSheetId="5">'Distribucion Programas III UTGV'!#REF!</definedName>
    <definedName name="_Hlt57100584" localSheetId="6">'Distrib Programas III Poyectos'!#REF!</definedName>
    <definedName name="_Hlt57100584" localSheetId="3">'Distribucion Programas I'!#REF!</definedName>
    <definedName name="_Hlt57100584" localSheetId="4">'Distribucion Programas II '!#REF!</definedName>
    <definedName name="_Hlt57100584" localSheetId="5">'Distribucion Programas III UTGV'!#REF!</definedName>
    <definedName name="_Hlt57100587" localSheetId="6">'Distrib Programas III Poyectos'!#REF!</definedName>
    <definedName name="_Hlt57100587" localSheetId="3">'Distribucion Programas I'!#REF!</definedName>
    <definedName name="_Hlt57100587" localSheetId="4">'Distribucion Programas II '!#REF!</definedName>
    <definedName name="_Hlt57100587" localSheetId="5">'Distribucion Programas III UTGV'!#REF!</definedName>
    <definedName name="_Hlt57100589" localSheetId="6">'Distrib Programas III Poyectos'!#REF!</definedName>
    <definedName name="_Hlt57100589" localSheetId="3">'Distribucion Programas I'!#REF!</definedName>
    <definedName name="_Hlt57100589" localSheetId="4">'Distribucion Programas II '!#REF!</definedName>
    <definedName name="_Hlt57100589" localSheetId="5">'Distribucion Programas III UTGV'!#REF!</definedName>
    <definedName name="_Hlt57100592" localSheetId="6">'Distrib Programas III Poyectos'!#REF!</definedName>
    <definedName name="_Hlt57100592" localSheetId="3">'Distribucion Programas I'!#REF!</definedName>
    <definedName name="_Hlt57100592" localSheetId="4">'Distribucion Programas II '!#REF!</definedName>
    <definedName name="_Hlt57100592" localSheetId="5">'Distribucion Programas III UTGV'!#REF!</definedName>
    <definedName name="_Hlt57100594" localSheetId="6">'Distrib Programas III Poyectos'!#REF!</definedName>
    <definedName name="_Hlt57100594" localSheetId="3">'Distribucion Programas I'!#REF!</definedName>
    <definedName name="_Hlt57100594" localSheetId="4">'Distribucion Programas II '!#REF!</definedName>
    <definedName name="_Hlt57100594" localSheetId="5">'Distribucion Programas III UTGV'!#REF!</definedName>
    <definedName name="_Hlt57100597" localSheetId="6">'Distrib Programas III Poyectos'!#REF!</definedName>
    <definedName name="_Hlt57100597" localSheetId="3">'Distribucion Programas I'!#REF!</definedName>
    <definedName name="_Hlt57100597" localSheetId="4">'Distribucion Programas II '!#REF!</definedName>
    <definedName name="_Hlt57100597" localSheetId="5">'Distribucion Programas III UTGV'!#REF!</definedName>
    <definedName name="_Hlt57100601" localSheetId="6">'Distrib Programas III Poyectos'!#REF!</definedName>
    <definedName name="_Hlt57100601" localSheetId="3">'Distribucion Programas I'!#REF!</definedName>
    <definedName name="_Hlt57100601" localSheetId="4">'Distribucion Programas II '!#REF!</definedName>
    <definedName name="_Hlt57100601" localSheetId="5">'Distribucion Programas III UTGV'!#REF!</definedName>
    <definedName name="_Hlt57100603" localSheetId="6">'Distrib Programas III Poyectos'!#REF!</definedName>
    <definedName name="_Hlt57100603" localSheetId="3">'Distribucion Programas I'!#REF!</definedName>
    <definedName name="_Hlt57100603" localSheetId="4">'Distribucion Programas II '!#REF!</definedName>
    <definedName name="_Hlt57100603" localSheetId="5">'Distribucion Programas III UTGV'!#REF!</definedName>
    <definedName name="_Hlt57100605" localSheetId="6">'Distrib Programas III Poyectos'!#REF!</definedName>
    <definedName name="_Hlt57100605" localSheetId="3">'Distribucion Programas I'!#REF!</definedName>
    <definedName name="_Hlt57100605" localSheetId="4">'Distribucion Programas II '!#REF!</definedName>
    <definedName name="_Hlt57100605" localSheetId="5">'Distribucion Programas III UTGV'!#REF!</definedName>
    <definedName name="_Hlt57100607" localSheetId="6">'Distrib Programas III Poyectos'!#REF!</definedName>
    <definedName name="_Hlt57100607" localSheetId="3">'Distribucion Programas I'!#REF!</definedName>
    <definedName name="_Hlt57100607" localSheetId="4">'Distribucion Programas II '!#REF!</definedName>
    <definedName name="_Hlt57100607" localSheetId="5">'Distribucion Programas III UTGV'!#REF!</definedName>
    <definedName name="_Hlt57100609" localSheetId="6">'Distrib Programas III Poyectos'!#REF!</definedName>
    <definedName name="_Hlt57100609" localSheetId="3">'Distribucion Programas I'!#REF!</definedName>
    <definedName name="_Hlt57100609" localSheetId="4">'Distribucion Programas II '!#REF!</definedName>
    <definedName name="_Hlt57100609" localSheetId="5">'Distribucion Programas III UTGV'!#REF!</definedName>
    <definedName name="_Hlt57100612" localSheetId="6">'Distrib Programas III Poyectos'!#REF!</definedName>
    <definedName name="_Hlt57100612" localSheetId="3">'Distribucion Programas I'!#REF!</definedName>
    <definedName name="_Hlt57100612" localSheetId="4">'Distribucion Programas II '!#REF!</definedName>
    <definedName name="_Hlt57100612" localSheetId="5">'Distribucion Programas III UTGV'!#REF!</definedName>
    <definedName name="_Hlt57100615" localSheetId="6">'Distrib Programas III Poyectos'!#REF!</definedName>
    <definedName name="_Hlt57100615" localSheetId="3">'Distribucion Programas I'!#REF!</definedName>
    <definedName name="_Hlt57100615" localSheetId="4">'Distribucion Programas II '!#REF!</definedName>
    <definedName name="_Hlt57100615" localSheetId="5">'Distribucion Programas III UTGV'!#REF!</definedName>
    <definedName name="_Hlt57100618" localSheetId="6">'Distrib Programas III Poyectos'!#REF!</definedName>
    <definedName name="_Hlt57100618" localSheetId="3">'Distribucion Programas I'!#REF!</definedName>
    <definedName name="_Hlt57100618" localSheetId="4">'Distribucion Programas II '!#REF!</definedName>
    <definedName name="_Hlt57100618" localSheetId="5">'Distribucion Programas III UTGV'!#REF!</definedName>
    <definedName name="_Hlt57100620" localSheetId="6">'Distrib Programas III Poyectos'!#REF!</definedName>
    <definedName name="_Hlt57100620" localSheetId="3">'Distribucion Programas I'!#REF!</definedName>
    <definedName name="_Hlt57100620" localSheetId="4">'Distribucion Programas II '!#REF!</definedName>
    <definedName name="_Hlt57100620" localSheetId="5">'Distribucion Programas III UTGV'!#REF!</definedName>
    <definedName name="_Hlt57100622" localSheetId="6">'Distrib Programas III Poyectos'!#REF!</definedName>
    <definedName name="_Hlt57100622" localSheetId="3">'Distribucion Programas I'!#REF!</definedName>
    <definedName name="_Hlt57100622" localSheetId="4">'Distribucion Programas II '!#REF!</definedName>
    <definedName name="_Hlt57100622" localSheetId="5">'Distribucion Programas III UTGV'!#REF!</definedName>
    <definedName name="_Hlt57100625" localSheetId="6">'Distrib Programas III Poyectos'!#REF!</definedName>
    <definedName name="_Hlt57100625" localSheetId="3">'Distribucion Programas I'!#REF!</definedName>
    <definedName name="_Hlt57100625" localSheetId="4">'Distribucion Programas II '!#REF!</definedName>
    <definedName name="_Hlt57100625" localSheetId="5">'Distribucion Programas III UTGV'!#REF!</definedName>
    <definedName name="_Hlt57100631" localSheetId="6">'Distrib Programas III Poyectos'!#REF!</definedName>
    <definedName name="_Hlt57100631" localSheetId="3">'Distribucion Programas I'!#REF!</definedName>
    <definedName name="_Hlt57100631" localSheetId="4">'Distribucion Programas II '!#REF!</definedName>
    <definedName name="_Hlt57100631" localSheetId="5">'Distribucion Programas III UTGV'!#REF!</definedName>
    <definedName name="_Hlt57100634" localSheetId="6">'Distrib Programas III Poyectos'!#REF!</definedName>
    <definedName name="_Hlt57100634" localSheetId="3">'Distribucion Programas I'!#REF!</definedName>
    <definedName name="_Hlt57100634" localSheetId="4">'Distribucion Programas II '!#REF!</definedName>
    <definedName name="_Hlt57100634" localSheetId="5">'Distribucion Programas III UTGV'!#REF!</definedName>
    <definedName name="_Hlt57100636" localSheetId="6">'Distrib Programas III Poyectos'!#REF!</definedName>
    <definedName name="_Hlt57100636" localSheetId="3">'Distribucion Programas I'!#REF!</definedName>
    <definedName name="_Hlt57100636" localSheetId="4">'Distribucion Programas II '!#REF!</definedName>
    <definedName name="_Hlt57100636" localSheetId="5">'Distribucion Programas III UTGV'!#REF!</definedName>
    <definedName name="_Hlt57100638" localSheetId="6">'Distrib Programas III Poyectos'!#REF!</definedName>
    <definedName name="_Hlt57100638" localSheetId="3">'Distribucion Programas I'!#REF!</definedName>
    <definedName name="_Hlt57100638" localSheetId="4">'Distribucion Programas II '!#REF!</definedName>
    <definedName name="_Hlt57100638" localSheetId="5">'Distribucion Programas III UTGV'!#REF!</definedName>
    <definedName name="_Hlt57100640" localSheetId="6">'Distrib Programas III Poyectos'!#REF!</definedName>
    <definedName name="_Hlt57100640" localSheetId="3">'Distribucion Programas I'!#REF!</definedName>
    <definedName name="_Hlt57100640" localSheetId="4">'Distribucion Programas II '!#REF!</definedName>
    <definedName name="_Hlt57100640" localSheetId="5">'Distribucion Programas III UTGV'!#REF!</definedName>
    <definedName name="_Hlt57100643" localSheetId="6">'Distrib Programas III Poyectos'!#REF!</definedName>
    <definedName name="_Hlt57100643" localSheetId="3">'Distribucion Programas I'!#REF!</definedName>
    <definedName name="_Hlt57100643" localSheetId="4">'Distribucion Programas II '!#REF!</definedName>
    <definedName name="_Hlt57100643" localSheetId="5">'Distribucion Programas III UTGV'!#REF!</definedName>
    <definedName name="_Hlt57100646" localSheetId="6">'Distrib Programas III Poyectos'!#REF!</definedName>
    <definedName name="_Hlt57100646" localSheetId="3">'Distribucion Programas I'!#REF!</definedName>
    <definedName name="_Hlt57100646" localSheetId="4">'Distribucion Programas II '!#REF!</definedName>
    <definedName name="_Hlt57100646" localSheetId="5">'Distribucion Programas III UTGV'!#REF!</definedName>
    <definedName name="_Hlt57100648" localSheetId="6">'Distrib Programas III Poyectos'!#REF!</definedName>
    <definedName name="_Hlt57100648" localSheetId="3">'Distribucion Programas I'!#REF!</definedName>
    <definedName name="_Hlt57100648" localSheetId="4">'Distribucion Programas II '!#REF!</definedName>
    <definedName name="_Hlt57100648" localSheetId="5">'Distribucion Programas III UTGV'!#REF!</definedName>
    <definedName name="_Hlt57100693" localSheetId="6">'Distrib Programas III Poyectos'!#REF!</definedName>
    <definedName name="_Hlt57100693" localSheetId="3">'Distribucion Programas I'!#REF!</definedName>
    <definedName name="_Hlt57100693" localSheetId="4">'Distribucion Programas II '!#REF!</definedName>
    <definedName name="_Hlt57100693" localSheetId="5">'Distribucion Programas III UTGV'!#REF!</definedName>
    <definedName name="_Hlt57100695" localSheetId="6">'Distrib Programas III Poyectos'!#REF!</definedName>
    <definedName name="_Hlt57100695" localSheetId="3">'Distribucion Programas I'!#REF!</definedName>
    <definedName name="_Hlt57100695" localSheetId="4">'Distribucion Programas II '!#REF!</definedName>
    <definedName name="_Hlt57100695" localSheetId="5">'Distribucion Programas III UTGV'!#REF!</definedName>
    <definedName name="_Hlt57100697" localSheetId="6">'Distrib Programas III Poyectos'!#REF!</definedName>
    <definedName name="_Hlt57100697" localSheetId="3">'Distribucion Programas I'!#REF!</definedName>
    <definedName name="_Hlt57100697" localSheetId="4">'Distribucion Programas II '!#REF!</definedName>
    <definedName name="_Hlt57100697" localSheetId="5">'Distribucion Programas III UTGV'!#REF!</definedName>
    <definedName name="_Hlt57100700" localSheetId="6">'Distrib Programas III Poyectos'!#REF!</definedName>
    <definedName name="_Hlt57100700" localSheetId="3">'Distribucion Programas I'!#REF!</definedName>
    <definedName name="_Hlt57100700" localSheetId="4">'Distribucion Programas II '!#REF!</definedName>
    <definedName name="_Hlt57100700" localSheetId="5">'Distribucion Programas III UTGV'!#REF!</definedName>
    <definedName name="_Hlt57100703" localSheetId="6">'Distrib Programas III Poyectos'!#REF!</definedName>
    <definedName name="_Hlt57100703" localSheetId="3">'Distribucion Programas I'!#REF!</definedName>
    <definedName name="_Hlt57100703" localSheetId="4">'Distribucion Programas II '!#REF!</definedName>
    <definedName name="_Hlt57100703" localSheetId="5">'Distribucion Programas III UTGV'!#REF!</definedName>
    <definedName name="_Hlt57100705" localSheetId="6">'Distrib Programas III Poyectos'!#REF!</definedName>
    <definedName name="_Hlt57100705" localSheetId="3">'Distribucion Programas I'!#REF!</definedName>
    <definedName name="_Hlt57100705" localSheetId="4">'Distribucion Programas II '!#REF!</definedName>
    <definedName name="_Hlt57100705" localSheetId="5">'Distribucion Programas III UTGV'!#REF!</definedName>
    <definedName name="_Hlt57100707" localSheetId="6">'Distrib Programas III Poyectos'!#REF!</definedName>
    <definedName name="_Hlt57100707" localSheetId="3">'Distribucion Programas I'!#REF!</definedName>
    <definedName name="_Hlt57100707" localSheetId="4">'Distribucion Programas II '!#REF!</definedName>
    <definedName name="_Hlt57100707" localSheetId="5">'Distribucion Programas III UTGV'!#REF!</definedName>
    <definedName name="_Hlt57100709" localSheetId="6">'Distrib Programas III Poyectos'!#REF!</definedName>
    <definedName name="_Hlt57100709" localSheetId="3">'Distribucion Programas I'!#REF!</definedName>
    <definedName name="_Hlt57100709" localSheetId="4">'Distribucion Programas II '!#REF!</definedName>
    <definedName name="_Hlt57100709" localSheetId="5">'Distribucion Programas III UTGV'!#REF!</definedName>
    <definedName name="_Hlt57100711" localSheetId="6">'Distrib Programas III Poyectos'!#REF!</definedName>
    <definedName name="_Hlt57100711" localSheetId="3">'Distribucion Programas I'!#REF!</definedName>
    <definedName name="_Hlt57100711" localSheetId="4">'Distribucion Programas II '!#REF!</definedName>
    <definedName name="_Hlt57100711" localSheetId="5">'Distribucion Programas III UTGV'!#REF!</definedName>
    <definedName name="_Hlt57100714" localSheetId="6">'Distrib Programas III Poyectos'!#REF!</definedName>
    <definedName name="_Hlt57100714" localSheetId="3">'Distribucion Programas I'!#REF!</definedName>
    <definedName name="_Hlt57100714" localSheetId="4">'Distribucion Programas II '!#REF!</definedName>
    <definedName name="_Hlt57100714" localSheetId="5">'Distribucion Programas III UTGV'!#REF!</definedName>
    <definedName name="_Hlt57100716" localSheetId="6">'Distrib Programas III Poyectos'!#REF!</definedName>
    <definedName name="_Hlt57100716" localSheetId="3">'Distribucion Programas I'!#REF!</definedName>
    <definedName name="_Hlt57100716" localSheetId="4">'Distribucion Programas II '!#REF!</definedName>
    <definedName name="_Hlt57100716" localSheetId="5">'Distribucion Programas III UTGV'!#REF!</definedName>
    <definedName name="_Hlt57100719" localSheetId="6">'Distrib Programas III Poyectos'!#REF!</definedName>
    <definedName name="_Hlt57100719" localSheetId="3">'Distribucion Programas I'!#REF!</definedName>
    <definedName name="_Hlt57100719" localSheetId="4">'Distribucion Programas II '!#REF!</definedName>
    <definedName name="_Hlt57100719" localSheetId="5">'Distribucion Programas III UTGV'!#REF!</definedName>
    <definedName name="_Hlt57100721" localSheetId="6">'Distrib Programas III Poyectos'!#REF!</definedName>
    <definedName name="_Hlt57100721" localSheetId="3">'Distribucion Programas I'!#REF!</definedName>
    <definedName name="_Hlt57100721" localSheetId="4">'Distribucion Programas II '!#REF!</definedName>
    <definedName name="_Hlt57100721" localSheetId="5">'Distribucion Programas III UTGV'!#REF!</definedName>
    <definedName name="_Hlt57100723" localSheetId="6">'Distrib Programas III Poyectos'!#REF!</definedName>
    <definedName name="_Hlt57100723" localSheetId="3">'Distribucion Programas I'!#REF!</definedName>
    <definedName name="_Hlt57100723" localSheetId="4">'Distribucion Programas II '!#REF!</definedName>
    <definedName name="_Hlt57100723" localSheetId="5">'Distribucion Programas III UTGV'!#REF!</definedName>
    <definedName name="_Hlt57100726" localSheetId="6">'Distrib Programas III Poyectos'!#REF!</definedName>
    <definedName name="_Hlt57100726" localSheetId="3">'Distribucion Programas I'!#REF!</definedName>
    <definedName name="_Hlt57100726" localSheetId="4">'Distribucion Programas II '!#REF!</definedName>
    <definedName name="_Hlt57100726" localSheetId="5">'Distribucion Programas III UTGV'!#REF!</definedName>
    <definedName name="_Hlt57100729" localSheetId="6">'Distrib Programas III Poyectos'!#REF!</definedName>
    <definedName name="_Hlt57100729" localSheetId="3">'Distribucion Programas I'!#REF!</definedName>
    <definedName name="_Hlt57100729" localSheetId="4">'Distribucion Programas II '!#REF!</definedName>
    <definedName name="_Hlt57100729" localSheetId="5">'Distribucion Programas III UTGV'!#REF!</definedName>
    <definedName name="_Hlt57100736" localSheetId="6">'Distrib Programas III Poyectos'!#REF!</definedName>
    <definedName name="_Hlt57100736" localSheetId="3">'Distribucion Programas I'!#REF!</definedName>
    <definedName name="_Hlt57100736" localSheetId="4">'Distribucion Programas II '!#REF!</definedName>
    <definedName name="_Hlt57100736" localSheetId="5">'Distribucion Programas III UTGV'!#REF!</definedName>
    <definedName name="_Hlt57100739" localSheetId="6">'Distrib Programas III Poyectos'!#REF!</definedName>
    <definedName name="_Hlt57100739" localSheetId="3">'Distribucion Programas I'!#REF!</definedName>
    <definedName name="_Hlt57100739" localSheetId="4">'Distribucion Programas II '!#REF!</definedName>
    <definedName name="_Hlt57100739" localSheetId="5">'Distribucion Programas III UTGV'!#REF!</definedName>
    <definedName name="_Hlt57100742" localSheetId="6">'Distrib Programas III Poyectos'!#REF!</definedName>
    <definedName name="_Hlt57100742" localSheetId="3">'Distribucion Programas I'!#REF!</definedName>
    <definedName name="_Hlt57100742" localSheetId="4">'Distribucion Programas II '!#REF!</definedName>
    <definedName name="_Hlt57100742" localSheetId="5">'Distribucion Programas III UTGV'!#REF!</definedName>
    <definedName name="_Hlt57100744" localSheetId="6">'Distrib Programas III Poyectos'!#REF!</definedName>
    <definedName name="_Hlt57100744" localSheetId="3">'Distribucion Programas I'!#REF!</definedName>
    <definedName name="_Hlt57100744" localSheetId="4">'Distribucion Programas II '!#REF!</definedName>
    <definedName name="_Hlt57100744" localSheetId="5">'Distribucion Programas III UTGV'!#REF!</definedName>
    <definedName name="_Hlt57100747" localSheetId="6">'Distrib Programas III Poyectos'!#REF!</definedName>
    <definedName name="_Hlt57100747" localSheetId="3">'Distribucion Programas I'!#REF!</definedName>
    <definedName name="_Hlt57100747" localSheetId="4">'Distribucion Programas II '!#REF!</definedName>
    <definedName name="_Hlt57100747" localSheetId="5">'Distribucion Programas III UTGV'!#REF!</definedName>
    <definedName name="_Hlt57100755" localSheetId="6">'Distrib Programas III Poyectos'!#REF!</definedName>
    <definedName name="_Hlt57100755" localSheetId="3">'Distribucion Programas I'!#REF!</definedName>
    <definedName name="_Hlt57100755" localSheetId="4">'Distribucion Programas II '!#REF!</definedName>
    <definedName name="_Hlt57100755" localSheetId="5">'Distribucion Programas III UTGV'!#REF!</definedName>
    <definedName name="_Hlt57100759" localSheetId="6">'Distrib Programas III Poyectos'!#REF!</definedName>
    <definedName name="_Hlt57100759" localSheetId="3">'Distribucion Programas I'!#REF!</definedName>
    <definedName name="_Hlt57100759" localSheetId="4">'Distribucion Programas II '!#REF!</definedName>
    <definedName name="_Hlt57100759" localSheetId="5">'Distribucion Programas III UTGV'!#REF!</definedName>
    <definedName name="_Hlt57100763" localSheetId="6">'Distrib Programas III Poyectos'!#REF!</definedName>
    <definedName name="_Hlt57100763" localSheetId="3">'Distribucion Programas I'!#REF!</definedName>
    <definedName name="_Hlt57100763" localSheetId="4">'Distribucion Programas II '!#REF!</definedName>
    <definedName name="_Hlt57100763" localSheetId="5">'Distribucion Programas III UTGV'!#REF!</definedName>
    <definedName name="_Hlt57100766" localSheetId="6">'Distrib Programas III Poyectos'!#REF!</definedName>
    <definedName name="_Hlt57100766" localSheetId="3">'Distribucion Programas I'!#REF!</definedName>
    <definedName name="_Hlt57100766" localSheetId="4">'Distribucion Programas II '!#REF!</definedName>
    <definedName name="_Hlt57100766" localSheetId="5">'Distribucion Programas III UTGV'!#REF!</definedName>
    <definedName name="_Hlt57100769" localSheetId="6">'Distrib Programas III Poyectos'!#REF!</definedName>
    <definedName name="_Hlt57100769" localSheetId="3">'Distribucion Programas I'!#REF!</definedName>
    <definedName name="_Hlt57100769" localSheetId="4">'Distribucion Programas II '!#REF!</definedName>
    <definedName name="_Hlt57100769" localSheetId="5">'Distribucion Programas III UTGV'!#REF!</definedName>
    <definedName name="_Hlt57100772" localSheetId="6">'Distrib Programas III Poyectos'!#REF!</definedName>
    <definedName name="_Hlt57100772" localSheetId="3">'Distribucion Programas I'!#REF!</definedName>
    <definedName name="_Hlt57100772" localSheetId="4">'Distribucion Programas II '!#REF!</definedName>
    <definedName name="_Hlt57100772" localSheetId="5">'Distribucion Programas III UTGV'!#REF!</definedName>
    <definedName name="_Hlt57100775" localSheetId="6">'Distrib Programas III Poyectos'!#REF!</definedName>
    <definedName name="_Hlt57100775" localSheetId="3">'Distribucion Programas I'!#REF!</definedName>
    <definedName name="_Hlt57100775" localSheetId="4">'Distribucion Programas II '!#REF!</definedName>
    <definedName name="_Hlt57100775" localSheetId="5">'Distribucion Programas III UTGV'!#REF!</definedName>
    <definedName name="_Hlt57100777" localSheetId="6">'Distrib Programas III Poyectos'!#REF!</definedName>
    <definedName name="_Hlt57100777" localSheetId="3">'Distribucion Programas I'!#REF!</definedName>
    <definedName name="_Hlt57100777" localSheetId="4">'Distribucion Programas II '!#REF!</definedName>
    <definedName name="_Hlt57100777" localSheetId="5">'Distribucion Programas III UTGV'!#REF!</definedName>
    <definedName name="_Hlt57100782" localSheetId="6">'Distrib Programas III Poyectos'!#REF!</definedName>
    <definedName name="_Hlt57100782" localSheetId="3">'Distribucion Programas I'!#REF!</definedName>
    <definedName name="_Hlt57100782" localSheetId="4">'Distribucion Programas II '!#REF!</definedName>
    <definedName name="_Hlt57100782" localSheetId="5">'Distribucion Programas III UTGV'!#REF!</definedName>
    <definedName name="_Hlt57100785" localSheetId="6">'Distrib Programas III Poyectos'!#REF!</definedName>
    <definedName name="_Hlt57100785" localSheetId="3">'Distribucion Programas I'!#REF!</definedName>
    <definedName name="_Hlt57100785" localSheetId="4">'Distribucion Programas II '!#REF!</definedName>
    <definedName name="_Hlt57100785" localSheetId="5">'Distribucion Programas III UTGV'!#REF!</definedName>
    <definedName name="_Hlt57100788" localSheetId="6">'Distrib Programas III Poyectos'!#REF!</definedName>
    <definedName name="_Hlt57100788" localSheetId="3">'Distribucion Programas I'!#REF!</definedName>
    <definedName name="_Hlt57100788" localSheetId="4">'Distribucion Programas II '!#REF!</definedName>
    <definedName name="_Hlt57100788" localSheetId="5">'Distribucion Programas III UTGV'!#REF!</definedName>
    <definedName name="_Hlt57100791" localSheetId="6">'Distrib Programas III Poyectos'!#REF!</definedName>
    <definedName name="_Hlt57100791" localSheetId="3">'Distribucion Programas I'!#REF!</definedName>
    <definedName name="_Hlt57100791" localSheetId="4">'Distribucion Programas II '!#REF!</definedName>
    <definedName name="_Hlt57100791" localSheetId="5">'Distribucion Programas III UTGV'!#REF!</definedName>
    <definedName name="_Hlt57100794" localSheetId="6">'Distrib Programas III Poyectos'!#REF!</definedName>
    <definedName name="_Hlt57100794" localSheetId="3">'Distribucion Programas I'!#REF!</definedName>
    <definedName name="_Hlt57100794" localSheetId="4">'Distribucion Programas II '!#REF!</definedName>
    <definedName name="_Hlt57100794" localSheetId="5">'Distribucion Programas III UTGV'!#REF!</definedName>
    <definedName name="_Hlt57100797" localSheetId="6">'Distrib Programas III Poyectos'!#REF!</definedName>
    <definedName name="_Hlt57100797" localSheetId="3">'Distribucion Programas I'!#REF!</definedName>
    <definedName name="_Hlt57100797" localSheetId="4">'Distribucion Programas II '!#REF!</definedName>
    <definedName name="_Hlt57100797" localSheetId="5">'Distribucion Programas III UTGV'!#REF!</definedName>
    <definedName name="_Hlt57100801" localSheetId="6">'Distrib Programas III Poyectos'!#REF!</definedName>
    <definedName name="_Hlt57100801" localSheetId="3">'Distribucion Programas I'!#REF!</definedName>
    <definedName name="_Hlt57100801" localSheetId="4">'Distribucion Programas II '!#REF!</definedName>
    <definedName name="_Hlt57100801" localSheetId="5">'Distribucion Programas III UTGV'!#REF!</definedName>
    <definedName name="_Hlt57100803" localSheetId="6">'Distrib Programas III Poyectos'!#REF!</definedName>
    <definedName name="_Hlt57100803" localSheetId="3">'Distribucion Programas I'!#REF!</definedName>
    <definedName name="_Hlt57100803" localSheetId="4">'Distribucion Programas II '!#REF!</definedName>
    <definedName name="_Hlt57100803" localSheetId="5">'Distribucion Programas III UTGV'!#REF!</definedName>
    <definedName name="_Hlt57100807" localSheetId="6">'Distrib Programas III Poyectos'!#REF!</definedName>
    <definedName name="_Hlt57100807" localSheetId="3">'Distribucion Programas I'!#REF!</definedName>
    <definedName name="_Hlt57100807" localSheetId="4">'Distribucion Programas II '!#REF!</definedName>
    <definedName name="_Hlt57100807" localSheetId="5">'Distribucion Programas III UTGV'!#REF!</definedName>
    <definedName name="_Hlt57100810" localSheetId="6">'Distrib Programas III Poyectos'!#REF!</definedName>
    <definedName name="_Hlt57100810" localSheetId="3">'Distribucion Programas I'!#REF!</definedName>
    <definedName name="_Hlt57100810" localSheetId="4">'Distribucion Programas II '!#REF!</definedName>
    <definedName name="_Hlt57100810" localSheetId="5">'Distribucion Programas III UTGV'!#REF!</definedName>
    <definedName name="_Hlt57100812" localSheetId="6">'Distrib Programas III Poyectos'!#REF!</definedName>
    <definedName name="_Hlt57100812" localSheetId="3">'Distribucion Programas I'!#REF!</definedName>
    <definedName name="_Hlt57100812" localSheetId="4">'Distribucion Programas II '!#REF!</definedName>
    <definedName name="_Hlt57100812" localSheetId="5">'Distribucion Programas III UTGV'!#REF!</definedName>
    <definedName name="_Hlt57100816" localSheetId="6">'Distrib Programas III Poyectos'!#REF!</definedName>
    <definedName name="_Hlt57100816" localSheetId="3">'Distribucion Programas I'!#REF!</definedName>
    <definedName name="_Hlt57100816" localSheetId="4">'Distribucion Programas II '!#REF!</definedName>
    <definedName name="_Hlt57100816" localSheetId="5">'Distribucion Programas III UTGV'!#REF!</definedName>
    <definedName name="_Hlt57100818" localSheetId="6">'Distrib Programas III Poyectos'!#REF!</definedName>
    <definedName name="_Hlt57100818" localSheetId="3">'Distribucion Programas I'!#REF!</definedName>
    <definedName name="_Hlt57100818" localSheetId="4">'Distribucion Programas II '!#REF!</definedName>
    <definedName name="_Hlt57100818" localSheetId="5">'Distribucion Programas III UTGV'!#REF!</definedName>
    <definedName name="_Hlt57100824" localSheetId="6">'Distrib Programas III Poyectos'!#REF!</definedName>
    <definedName name="_Hlt57100824" localSheetId="3">'Distribucion Programas I'!#REF!</definedName>
    <definedName name="_Hlt57100824" localSheetId="4">'Distribucion Programas II '!#REF!</definedName>
    <definedName name="_Hlt57100824" localSheetId="5">'Distribucion Programas III UTGV'!#REF!</definedName>
    <definedName name="_Hlt57100828" localSheetId="6">'Distrib Programas III Poyectos'!#REF!</definedName>
    <definedName name="_Hlt57100828" localSheetId="3">'Distribucion Programas I'!#REF!</definedName>
    <definedName name="_Hlt57100828" localSheetId="4">'Distribucion Programas II '!#REF!</definedName>
    <definedName name="_Hlt57100828" localSheetId="5">'Distribucion Programas III UTGV'!#REF!</definedName>
    <definedName name="_Hlt57100832" localSheetId="6">'Distrib Programas III Poyectos'!#REF!</definedName>
    <definedName name="_Hlt57100832" localSheetId="3">'Distribucion Programas I'!#REF!</definedName>
    <definedName name="_Hlt57100832" localSheetId="4">'Distribucion Programas II '!#REF!</definedName>
    <definedName name="_Hlt57100832" localSheetId="5">'Distribucion Programas III UTGV'!#REF!</definedName>
    <definedName name="_Hlt57100835" localSheetId="6">'Distrib Programas III Poyectos'!#REF!</definedName>
    <definedName name="_Hlt57100835" localSheetId="3">'Distribucion Programas I'!#REF!</definedName>
    <definedName name="_Hlt57100835" localSheetId="4">'Distribucion Programas II '!#REF!</definedName>
    <definedName name="_Hlt57100835" localSheetId="5">'Distribucion Programas III UTGV'!#REF!</definedName>
    <definedName name="_Hlt57100837" localSheetId="6">'Distrib Programas III Poyectos'!#REF!</definedName>
    <definedName name="_Hlt57100837" localSheetId="3">'Distribucion Programas I'!#REF!</definedName>
    <definedName name="_Hlt57100837" localSheetId="4">'Distribucion Programas II '!#REF!</definedName>
    <definedName name="_Hlt57100837" localSheetId="5">'Distribucion Programas III UTGV'!#REF!</definedName>
    <definedName name="_Hlt57100841" localSheetId="6">'Distrib Programas III Poyectos'!#REF!</definedName>
    <definedName name="_Hlt57100841" localSheetId="3">'Distribucion Programas I'!#REF!</definedName>
    <definedName name="_Hlt57100841" localSheetId="4">'Distribucion Programas II '!#REF!</definedName>
    <definedName name="_Hlt57100841" localSheetId="5">'Distribucion Programas III UTGV'!#REF!</definedName>
    <definedName name="_Hlt57100846" localSheetId="6">'Distrib Programas III Poyectos'!#REF!</definedName>
    <definedName name="_Hlt57100846" localSheetId="3">'Distribucion Programas I'!#REF!</definedName>
    <definedName name="_Hlt57100846" localSheetId="4">'Distribucion Programas II '!#REF!</definedName>
    <definedName name="_Hlt57100846" localSheetId="5">'Distribucion Programas III UTGV'!#REF!</definedName>
    <definedName name="_Hlt57100848" localSheetId="6">'Distrib Programas III Poyectos'!#REF!</definedName>
    <definedName name="_Hlt57100848" localSheetId="3">'Distribucion Programas I'!#REF!</definedName>
    <definedName name="_Hlt57100848" localSheetId="4">'Distribucion Programas II '!#REF!</definedName>
    <definedName name="_Hlt57100848" localSheetId="5">'Distribucion Programas III UTGV'!#REF!</definedName>
    <definedName name="_Hlt57100851" localSheetId="6">'Distrib Programas III Poyectos'!#REF!</definedName>
    <definedName name="_Hlt57100851" localSheetId="3">'Distribucion Programas I'!#REF!</definedName>
    <definedName name="_Hlt57100851" localSheetId="4">'Distribucion Programas II '!#REF!</definedName>
    <definedName name="_Hlt57100851" localSheetId="5">'Distribucion Programas III UTGV'!#REF!</definedName>
    <definedName name="_Hlt57100854" localSheetId="6">'Distrib Programas III Poyectos'!#REF!</definedName>
    <definedName name="_Hlt57100854" localSheetId="3">'Distribucion Programas I'!#REF!</definedName>
    <definedName name="_Hlt57100854" localSheetId="4">'Distribucion Programas II '!#REF!</definedName>
    <definedName name="_Hlt57100854" localSheetId="5">'Distribucion Programas III UTGV'!#REF!</definedName>
    <definedName name="_Hlt57100858" localSheetId="6">'Distrib Programas III Poyectos'!#REF!</definedName>
    <definedName name="_Hlt57100858" localSheetId="3">'Distribucion Programas I'!#REF!</definedName>
    <definedName name="_Hlt57100858" localSheetId="4">'Distribucion Programas II '!#REF!</definedName>
    <definedName name="_Hlt57100858" localSheetId="5">'Distribucion Programas III UTGV'!#REF!</definedName>
    <definedName name="_Hlt57100860" localSheetId="6">'Distrib Programas III Poyectos'!#REF!</definedName>
    <definedName name="_Hlt57100860" localSheetId="3">'Distribucion Programas I'!#REF!</definedName>
    <definedName name="_Hlt57100860" localSheetId="4">'Distribucion Programas II '!#REF!</definedName>
    <definedName name="_Hlt57100860" localSheetId="5">'Distribucion Programas III UTGV'!#REF!</definedName>
    <definedName name="_Hlt57100863" localSheetId="6">'Distrib Programas III Poyectos'!#REF!</definedName>
    <definedName name="_Hlt57100863" localSheetId="3">'Distribucion Programas I'!#REF!</definedName>
    <definedName name="_Hlt57100863" localSheetId="4">'Distribucion Programas II '!#REF!</definedName>
    <definedName name="_Hlt57100863" localSheetId="5">'Distribucion Programas III UTGV'!#REF!</definedName>
    <definedName name="_Hlt57100865" localSheetId="6">'Distrib Programas III Poyectos'!#REF!</definedName>
    <definedName name="_Hlt57100865" localSheetId="3">'Distribucion Programas I'!#REF!</definedName>
    <definedName name="_Hlt57100865" localSheetId="4">'Distribucion Programas II '!#REF!</definedName>
    <definedName name="_Hlt57100865" localSheetId="5">'Distribucion Programas III UTGV'!#REF!</definedName>
    <definedName name="_Hlt57100868" localSheetId="6">'Distrib Programas III Poyectos'!#REF!</definedName>
    <definedName name="_Hlt57100868" localSheetId="3">'Distribucion Programas I'!#REF!</definedName>
    <definedName name="_Hlt57100868" localSheetId="4">'Distribucion Programas II '!#REF!</definedName>
    <definedName name="_Hlt57100868" localSheetId="5">'Distribucion Programas III UTGV'!#REF!</definedName>
    <definedName name="_Hlt57100871" localSheetId="6">'Distrib Programas III Poyectos'!#REF!</definedName>
    <definedName name="_Hlt57100871" localSheetId="3">'Distribucion Programas I'!#REF!</definedName>
    <definedName name="_Hlt57100871" localSheetId="4">'Distribucion Programas II '!#REF!</definedName>
    <definedName name="_Hlt57100871" localSheetId="5">'Distribucion Programas III UTGV'!#REF!</definedName>
    <definedName name="_Hlt57100874" localSheetId="6">'Distrib Programas III Poyectos'!#REF!</definedName>
    <definedName name="_Hlt57100874" localSheetId="3">'Distribucion Programas I'!#REF!</definedName>
    <definedName name="_Hlt57100874" localSheetId="4">'Distribucion Programas II '!#REF!</definedName>
    <definedName name="_Hlt57100874" localSheetId="5">'Distribucion Programas III UTGV'!#REF!</definedName>
    <definedName name="_Hlt57100876" localSheetId="6">'Distrib Programas III Poyectos'!#REF!</definedName>
    <definedName name="_Hlt57100876" localSheetId="3">'Distribucion Programas I'!#REF!</definedName>
    <definedName name="_Hlt57100876" localSheetId="4">'Distribucion Programas II '!#REF!</definedName>
    <definedName name="_Hlt57100876" localSheetId="5">'Distribucion Programas III UTGV'!#REF!</definedName>
    <definedName name="_Hlt57100880" localSheetId="6">'Distrib Programas III Poyectos'!#REF!</definedName>
    <definedName name="_Hlt57100880" localSheetId="3">'Distribucion Programas I'!#REF!</definedName>
    <definedName name="_Hlt57100880" localSheetId="4">'Distribucion Programas II '!#REF!</definedName>
    <definedName name="_Hlt57100880" localSheetId="5">'Distribucion Programas III UTGV'!#REF!</definedName>
    <definedName name="_Hlt57100882" localSheetId="6">'Distrib Programas III Poyectos'!#REF!</definedName>
    <definedName name="_Hlt57100882" localSheetId="3">'Distribucion Programas I'!#REF!</definedName>
    <definedName name="_Hlt57100882" localSheetId="4">'Distribucion Programas II '!#REF!</definedName>
    <definedName name="_Hlt57100882" localSheetId="5">'Distribucion Programas III UTGV'!#REF!</definedName>
    <definedName name="_Hlt57100885" localSheetId="6">'Distrib Programas III Poyectos'!#REF!</definedName>
    <definedName name="_Hlt57100885" localSheetId="3">'Distribucion Programas I'!#REF!</definedName>
    <definedName name="_Hlt57100885" localSheetId="4">'Distribucion Programas II '!#REF!</definedName>
    <definedName name="_Hlt57100885" localSheetId="5">'Distribucion Programas III UTGV'!#REF!</definedName>
    <definedName name="_Hlt57100887" localSheetId="6">'Distrib Programas III Poyectos'!#REF!</definedName>
    <definedName name="_Hlt57100887" localSheetId="3">'Distribucion Programas I'!#REF!</definedName>
    <definedName name="_Hlt57100887" localSheetId="4">'Distribucion Programas II '!#REF!</definedName>
    <definedName name="_Hlt57100887" localSheetId="5">'Distribucion Programas III UTGV'!#REF!</definedName>
    <definedName name="_Hlt57100890" localSheetId="6">'Distrib Programas III Poyectos'!#REF!</definedName>
    <definedName name="_Hlt57100890" localSheetId="3">'Distribucion Programas I'!#REF!</definedName>
    <definedName name="_Hlt57100890" localSheetId="4">'Distribucion Programas II '!#REF!</definedName>
    <definedName name="_Hlt57100890" localSheetId="5">'Distribucion Programas III UTGV'!#REF!</definedName>
    <definedName name="_Hlt57100894" localSheetId="6">'Distrib Programas III Poyectos'!#REF!</definedName>
    <definedName name="_Hlt57100894" localSheetId="3">'Distribucion Programas I'!#REF!</definedName>
    <definedName name="_Hlt57100894" localSheetId="4">'Distribucion Programas II '!#REF!</definedName>
    <definedName name="_Hlt57100894" localSheetId="5">'Distribucion Programas III UTGV'!#REF!</definedName>
    <definedName name="_Hlt57100896" localSheetId="6">'Distrib Programas III Poyectos'!#REF!</definedName>
    <definedName name="_Hlt57100896" localSheetId="3">'Distribucion Programas I'!#REF!</definedName>
    <definedName name="_Hlt57100896" localSheetId="4">'Distribucion Programas II '!#REF!</definedName>
    <definedName name="_Hlt57100896" localSheetId="5">'Distribucion Programas III UTGV'!#REF!</definedName>
    <definedName name="_Hlt57100898" localSheetId="6">'Distrib Programas III Poyectos'!#REF!</definedName>
    <definedName name="_Hlt57100898" localSheetId="3">'Distribucion Programas I'!#REF!</definedName>
    <definedName name="_Hlt57100898" localSheetId="4">'Distribucion Programas II '!#REF!</definedName>
    <definedName name="_Hlt57100898" localSheetId="5">'Distribucion Programas III UTGV'!#REF!</definedName>
    <definedName name="_Hlt57100900" localSheetId="6">'Distrib Programas III Poyectos'!#REF!</definedName>
    <definedName name="_Hlt57100900" localSheetId="3">'Distribucion Programas I'!#REF!</definedName>
    <definedName name="_Hlt57100900" localSheetId="4">'Distribucion Programas II '!#REF!</definedName>
    <definedName name="_Hlt57100900" localSheetId="5">'Distribucion Programas III UTGV'!#REF!</definedName>
    <definedName name="_Hlt57100903" localSheetId="6">'Distrib Programas III Poyectos'!#REF!</definedName>
    <definedName name="_Hlt57100903" localSheetId="3">'Distribucion Programas I'!#REF!</definedName>
    <definedName name="_Hlt57100903" localSheetId="4">'Distribucion Programas II '!#REF!</definedName>
    <definedName name="_Hlt57100903" localSheetId="5">'Distribucion Programas III UTGV'!#REF!</definedName>
    <definedName name="_Hlt57100905" localSheetId="6">'Distrib Programas III Poyectos'!#REF!</definedName>
    <definedName name="_Hlt57100905" localSheetId="3">'Distribucion Programas I'!#REF!</definedName>
    <definedName name="_Hlt57100905" localSheetId="4">'Distribucion Programas II '!#REF!</definedName>
    <definedName name="_Hlt57100905" localSheetId="5">'Distribucion Programas III UTGV'!#REF!</definedName>
    <definedName name="_Hlt57100927" localSheetId="6">'Distrib Programas III Poyectos'!#REF!</definedName>
    <definedName name="_Hlt57100927" localSheetId="3">'Distribucion Programas I'!#REF!</definedName>
    <definedName name="_Hlt57100927" localSheetId="4">'Distribucion Programas II '!#REF!</definedName>
    <definedName name="_Hlt57100927" localSheetId="5">'Distribucion Programas III UTGV'!#REF!</definedName>
    <definedName name="_Hlt57100930" localSheetId="6">'Distrib Programas III Poyectos'!#REF!</definedName>
    <definedName name="_Hlt57100930" localSheetId="3">'Distribucion Programas I'!#REF!</definedName>
    <definedName name="_Hlt57100930" localSheetId="4">'Distribucion Programas II '!#REF!</definedName>
    <definedName name="_Hlt57100930" localSheetId="5">'Distribucion Programas III UTGV'!#REF!</definedName>
    <definedName name="_Hlt57100933" localSheetId="6">'Distrib Programas III Poyectos'!#REF!</definedName>
    <definedName name="_Hlt57100933" localSheetId="3">'Distribucion Programas I'!#REF!</definedName>
    <definedName name="_Hlt57100933" localSheetId="4">'Distribucion Programas II '!#REF!</definedName>
    <definedName name="_Hlt57100933" localSheetId="5">'Distribucion Programas III UTGV'!#REF!</definedName>
    <definedName name="_Hlt57100936" localSheetId="6">'Distrib Programas III Poyectos'!#REF!</definedName>
    <definedName name="_Hlt57100936" localSheetId="3">'Distribucion Programas I'!#REF!</definedName>
    <definedName name="_Hlt57100936" localSheetId="4">'Distribucion Programas II '!#REF!</definedName>
    <definedName name="_Hlt57100936" localSheetId="5">'Distribucion Programas III UTGV'!#REF!</definedName>
    <definedName name="_Hlt57100939" localSheetId="6">'Distrib Programas III Poyectos'!#REF!</definedName>
    <definedName name="_Hlt57100939" localSheetId="3">'Distribucion Programas I'!#REF!</definedName>
    <definedName name="_Hlt57100939" localSheetId="4">'Distribucion Programas II '!#REF!</definedName>
    <definedName name="_Hlt57100939" localSheetId="5">'Distribucion Programas III UTGV'!#REF!</definedName>
    <definedName name="_Hlt57100950" localSheetId="6">'Distrib Programas III Poyectos'!#REF!</definedName>
    <definedName name="_Hlt57100950" localSheetId="3">'Distribucion Programas I'!#REF!</definedName>
    <definedName name="_Hlt57100950" localSheetId="4">'Distribucion Programas II '!#REF!</definedName>
    <definedName name="_Hlt57100950" localSheetId="5">'Distribucion Programas III UTGV'!#REF!</definedName>
    <definedName name="_Hlt57100952" localSheetId="6">'Distrib Programas III Poyectos'!#REF!</definedName>
    <definedName name="_Hlt57100952" localSheetId="3">'Distribucion Programas I'!#REF!</definedName>
    <definedName name="_Hlt57100952" localSheetId="4">'Distribucion Programas II '!#REF!</definedName>
    <definedName name="_Hlt57100952" localSheetId="5">'Distribucion Programas III UTGV'!#REF!</definedName>
    <definedName name="_Hlt57100959" localSheetId="6">'Distrib Programas III Poyectos'!#REF!</definedName>
    <definedName name="_Hlt57100959" localSheetId="3">'Distribucion Programas I'!#REF!</definedName>
    <definedName name="_Hlt57100959" localSheetId="4">'Distribucion Programas II '!#REF!</definedName>
    <definedName name="_Hlt57100959" localSheetId="5">'Distribucion Programas III UTGV'!#REF!</definedName>
    <definedName name="_Hlt57100961" localSheetId="6">'Distrib Programas III Poyectos'!#REF!</definedName>
    <definedName name="_Hlt57100961" localSheetId="3">'Distribucion Programas I'!#REF!</definedName>
    <definedName name="_Hlt57100961" localSheetId="4">'Distribucion Programas II '!#REF!</definedName>
    <definedName name="_Hlt57100961" localSheetId="5">'Distribucion Programas III UTGV'!#REF!</definedName>
    <definedName name="_Hlt57100964" localSheetId="6">'Distrib Programas III Poyectos'!#REF!</definedName>
    <definedName name="_Hlt57100964" localSheetId="3">'Distribucion Programas I'!#REF!</definedName>
    <definedName name="_Hlt57100964" localSheetId="4">'Distribucion Programas II '!#REF!</definedName>
    <definedName name="_Hlt57100964" localSheetId="5">'Distribucion Programas III UTGV'!#REF!</definedName>
    <definedName name="_Hlt57100967" localSheetId="6">'Distrib Programas III Poyectos'!#REF!</definedName>
    <definedName name="_Hlt57100967" localSheetId="3">'Distribucion Programas I'!#REF!</definedName>
    <definedName name="_Hlt57100967" localSheetId="4">'Distribucion Programas II '!#REF!</definedName>
    <definedName name="_Hlt57100967" localSheetId="5">'Distribucion Programas III UTGV'!#REF!</definedName>
    <definedName name="_Hlt57100969" localSheetId="6">'Distrib Programas III Poyectos'!#REF!</definedName>
    <definedName name="_Hlt57100969" localSheetId="3">'Distribucion Programas I'!#REF!</definedName>
    <definedName name="_Hlt57100969" localSheetId="4">'Distribucion Programas II '!#REF!</definedName>
    <definedName name="_Hlt57100969" localSheetId="5">'Distribucion Programas III UTGV'!#REF!</definedName>
    <definedName name="_Hlt57100971" localSheetId="6">'Distrib Programas III Poyectos'!#REF!</definedName>
    <definedName name="_Hlt57100971" localSheetId="3">'Distribucion Programas I'!#REF!</definedName>
    <definedName name="_Hlt57100971" localSheetId="4">'Distribucion Programas II '!#REF!</definedName>
    <definedName name="_Hlt57100971" localSheetId="5">'Distribucion Programas III UTGV'!#REF!</definedName>
    <definedName name="_Hlt57100974" localSheetId="6">'Distrib Programas III Poyectos'!#REF!</definedName>
    <definedName name="_Hlt57100974" localSheetId="3">'Distribucion Programas I'!#REF!</definedName>
    <definedName name="_Hlt57100974" localSheetId="4">'Distribucion Programas II '!#REF!</definedName>
    <definedName name="_Hlt57100974" localSheetId="5">'Distribucion Programas III UTGV'!#REF!</definedName>
    <definedName name="_Hlt57100984" localSheetId="6">'Distrib Programas III Poyectos'!#REF!</definedName>
    <definedName name="_Hlt57100984" localSheetId="3">'Distribucion Programas I'!#REF!</definedName>
    <definedName name="_Hlt57100984" localSheetId="4">'Distribucion Programas II '!#REF!</definedName>
    <definedName name="_Hlt57100984" localSheetId="5">'Distribucion Programas III UTGV'!#REF!</definedName>
    <definedName name="_Hlt57100987" localSheetId="6">'Distrib Programas III Poyectos'!#REF!</definedName>
    <definedName name="_Hlt57100987" localSheetId="3">'Distribucion Programas I'!#REF!</definedName>
    <definedName name="_Hlt57100987" localSheetId="4">'Distribucion Programas II '!#REF!</definedName>
    <definedName name="_Hlt57100987" localSheetId="5">'Distribucion Programas III UTGV'!#REF!</definedName>
    <definedName name="_Hlt57100988" localSheetId="6">'Distrib Programas III Poyectos'!#REF!</definedName>
    <definedName name="_Hlt57100988" localSheetId="3">'Distribucion Programas I'!#REF!</definedName>
    <definedName name="_Hlt57100988" localSheetId="4">'Distribucion Programas II '!#REF!</definedName>
    <definedName name="_Hlt57100988" localSheetId="5">'Distribucion Programas III UTGV'!#REF!</definedName>
    <definedName name="_Hlt57100990" localSheetId="6">'Distrib Programas III Poyectos'!#REF!</definedName>
    <definedName name="_Hlt57100990" localSheetId="3">'Distribucion Programas I'!#REF!</definedName>
    <definedName name="_Hlt57100990" localSheetId="4">'Distribucion Programas II '!#REF!</definedName>
    <definedName name="_Hlt57100990" localSheetId="5">'Distribucion Programas III UTGV'!#REF!</definedName>
    <definedName name="_Hlt57100992" localSheetId="6">'Distrib Programas III Poyectos'!#REF!</definedName>
    <definedName name="_Hlt57100992" localSheetId="3">'Distribucion Programas I'!#REF!</definedName>
    <definedName name="_Hlt57100992" localSheetId="4">'Distribucion Programas II '!#REF!</definedName>
    <definedName name="_Hlt57100992" localSheetId="5">'Distribucion Programas III UTGV'!#REF!</definedName>
    <definedName name="_Hlt57100995" localSheetId="6">'Distrib Programas III Poyectos'!#REF!</definedName>
    <definedName name="_Hlt57100995" localSheetId="3">'Distribucion Programas I'!#REF!</definedName>
    <definedName name="_Hlt57100995" localSheetId="4">'Distribucion Programas II '!#REF!</definedName>
    <definedName name="_Hlt57100995" localSheetId="5">'Distribucion Programas III UTGV'!#REF!</definedName>
    <definedName name="_Hlt57100997" localSheetId="6">'Distrib Programas III Poyectos'!#REF!</definedName>
    <definedName name="_Hlt57100997" localSheetId="3">'Distribucion Programas I'!#REF!</definedName>
    <definedName name="_Hlt57100997" localSheetId="4">'Distribucion Programas II '!#REF!</definedName>
    <definedName name="_Hlt57100997" localSheetId="5">'Distribucion Programas III UTGV'!#REF!</definedName>
    <definedName name="_Hlt57101042" localSheetId="6">'Distrib Programas III Poyectos'!#REF!</definedName>
    <definedName name="_Hlt57101042" localSheetId="3">'Distribucion Programas I'!#REF!</definedName>
    <definedName name="_Hlt57101042" localSheetId="4">'Distribucion Programas II '!#REF!</definedName>
    <definedName name="_Hlt57101042" localSheetId="5">'Distribucion Programas III UTGV'!#REF!</definedName>
    <definedName name="_Hlt57101046" localSheetId="6">'Distrib Programas III Poyectos'!#REF!</definedName>
    <definedName name="_Hlt57101046" localSheetId="3">'Distribucion Programas I'!#REF!</definedName>
    <definedName name="_Hlt57101046" localSheetId="4">'Distribucion Programas II '!#REF!</definedName>
    <definedName name="_Hlt57101046" localSheetId="5">'Distribucion Programas III UTGV'!#REF!</definedName>
    <definedName name="_Hlt57101048" localSheetId="6">'Distrib Programas III Poyectos'!#REF!</definedName>
    <definedName name="_Hlt57101048" localSheetId="3">'Distribucion Programas I'!#REF!</definedName>
    <definedName name="_Hlt57101048" localSheetId="4">'Distribucion Programas II '!#REF!</definedName>
    <definedName name="_Hlt57101048" localSheetId="5">'Distribucion Programas III UTGV'!#REF!</definedName>
    <definedName name="_Hlt57101051" localSheetId="6">'Distrib Programas III Poyectos'!#REF!</definedName>
    <definedName name="_Hlt57101051" localSheetId="3">'Distribucion Programas I'!#REF!</definedName>
    <definedName name="_Hlt57101051" localSheetId="4">'Distribucion Programas II '!#REF!</definedName>
    <definedName name="_Hlt57101051" localSheetId="5">'Distribucion Programas III UTGV'!#REF!</definedName>
    <definedName name="_Hlt57101054" localSheetId="6">'Distrib Programas III Poyectos'!#REF!</definedName>
    <definedName name="_Hlt57101054" localSheetId="3">'Distribucion Programas I'!#REF!</definedName>
    <definedName name="_Hlt57101054" localSheetId="4">'Distribucion Programas II '!#REF!</definedName>
    <definedName name="_Hlt57101054" localSheetId="5">'Distribucion Programas III UTGV'!#REF!</definedName>
    <definedName name="_Hlt57101057" localSheetId="6">'Distrib Programas III Poyectos'!#REF!</definedName>
    <definedName name="_Hlt57101057" localSheetId="3">'Distribucion Programas I'!#REF!</definedName>
    <definedName name="_Hlt57101057" localSheetId="4">'Distribucion Programas II '!#REF!</definedName>
    <definedName name="_Hlt57101057" localSheetId="5">'Distribucion Programas III UTGV'!#REF!</definedName>
    <definedName name="_Hlt57101061" localSheetId="6">'Distrib Programas III Poyectos'!#REF!</definedName>
    <definedName name="_Hlt57101061" localSheetId="3">'Distribucion Programas I'!#REF!</definedName>
    <definedName name="_Hlt57101061" localSheetId="4">'Distribucion Programas II '!#REF!</definedName>
    <definedName name="_Hlt57101061" localSheetId="5">'Distribucion Programas III UTGV'!#REF!</definedName>
    <definedName name="_Hlt57101064" localSheetId="6">'Distrib Programas III Poyectos'!#REF!</definedName>
    <definedName name="_Hlt57101064" localSheetId="3">'Distribucion Programas I'!#REF!</definedName>
    <definedName name="_Hlt57101064" localSheetId="4">'Distribucion Programas II '!#REF!</definedName>
    <definedName name="_Hlt57101064" localSheetId="5">'Distribucion Programas III UTGV'!#REF!</definedName>
    <definedName name="_Hlt57101066" localSheetId="6">'Distrib Programas III Poyectos'!#REF!</definedName>
    <definedName name="_Hlt57101066" localSheetId="3">'Distribucion Programas I'!#REF!</definedName>
    <definedName name="_Hlt57101066" localSheetId="4">'Distribucion Programas II '!#REF!</definedName>
    <definedName name="_Hlt57101066" localSheetId="5">'Distribucion Programas III UTGV'!#REF!</definedName>
    <definedName name="_Hlt57101069" localSheetId="6">'Distrib Programas III Poyectos'!#REF!</definedName>
    <definedName name="_Hlt57101069" localSheetId="3">'Distribucion Programas I'!#REF!</definedName>
    <definedName name="_Hlt57101069" localSheetId="4">'Distribucion Programas II '!#REF!</definedName>
    <definedName name="_Hlt57101069" localSheetId="5">'Distribucion Programas III UTGV'!#REF!</definedName>
    <definedName name="_Hlt57101073" localSheetId="6">'Distrib Programas III Poyectos'!#REF!</definedName>
    <definedName name="_Hlt57101073" localSheetId="3">'Distribucion Programas I'!#REF!</definedName>
    <definedName name="_Hlt57101073" localSheetId="4">'Distribucion Programas II '!#REF!</definedName>
    <definedName name="_Hlt57101073" localSheetId="5">'Distribucion Programas III UTGV'!#REF!</definedName>
    <definedName name="_Hlt57101076" localSheetId="6">'Distrib Programas III Poyectos'!#REF!</definedName>
    <definedName name="_Hlt57101076" localSheetId="3">'Distribucion Programas I'!#REF!</definedName>
    <definedName name="_Hlt57101076" localSheetId="4">'Distribucion Programas II '!#REF!</definedName>
    <definedName name="_Hlt57101076" localSheetId="5">'Distribucion Programas III UTGV'!#REF!</definedName>
    <definedName name="_Hlt57101080" localSheetId="6">'Distrib Programas III Poyectos'!#REF!</definedName>
    <definedName name="_Hlt57101080" localSheetId="3">'Distribucion Programas I'!#REF!</definedName>
    <definedName name="_Hlt57101080" localSheetId="4">'Distribucion Programas II '!#REF!</definedName>
    <definedName name="_Hlt57101080" localSheetId="5">'Distribucion Programas III UTGV'!#REF!</definedName>
    <definedName name="_Hlt57101084" localSheetId="6">'Distrib Programas III Poyectos'!#REF!</definedName>
    <definedName name="_Hlt57101084" localSheetId="3">'Distribucion Programas I'!#REF!</definedName>
    <definedName name="_Hlt57101084" localSheetId="4">'Distribucion Programas II '!#REF!</definedName>
    <definedName name="_Hlt57101084" localSheetId="5">'Distribucion Programas III UTGV'!#REF!</definedName>
    <definedName name="_Hlt57101086" localSheetId="6">'Distrib Programas III Poyectos'!#REF!</definedName>
    <definedName name="_Hlt57101086" localSheetId="3">'Distribucion Programas I'!#REF!</definedName>
    <definedName name="_Hlt57101086" localSheetId="4">'Distribucion Programas II '!#REF!</definedName>
    <definedName name="_Hlt57101086" localSheetId="5">'Distribucion Programas III UTGV'!#REF!</definedName>
    <definedName name="_Hlt57101088" localSheetId="6">'Distrib Programas III Poyectos'!#REF!</definedName>
    <definedName name="_Hlt57101088" localSheetId="3">'Distribucion Programas I'!#REF!</definedName>
    <definedName name="_Hlt57101088" localSheetId="4">'Distribucion Programas II '!#REF!</definedName>
    <definedName name="_Hlt57101088" localSheetId="5">'Distribucion Programas III UTGV'!#REF!</definedName>
    <definedName name="_Hlt57101091" localSheetId="6">'Distrib Programas III Poyectos'!#REF!</definedName>
    <definedName name="_Hlt57101091" localSheetId="3">'Distribucion Programas I'!#REF!</definedName>
    <definedName name="_Hlt57101091" localSheetId="4">'Distribucion Programas II '!#REF!</definedName>
    <definedName name="_Hlt57101091" localSheetId="5">'Distribucion Programas III UTGV'!#REF!</definedName>
    <definedName name="_Hlt57101093" localSheetId="6">'Distrib Programas III Poyectos'!#REF!</definedName>
    <definedName name="_Hlt57101093" localSheetId="3">'Distribucion Programas I'!#REF!</definedName>
    <definedName name="_Hlt57101093" localSheetId="4">'Distribucion Programas II '!#REF!</definedName>
    <definedName name="_Hlt57101093" localSheetId="5">'Distribucion Programas III UTGV'!#REF!</definedName>
    <definedName name="_Hlt57101098" localSheetId="6">'Distrib Programas III Poyectos'!#REF!</definedName>
    <definedName name="_Hlt57101098" localSheetId="3">'Distribucion Programas I'!#REF!</definedName>
    <definedName name="_Hlt57101098" localSheetId="4">'Distribucion Programas II '!#REF!</definedName>
    <definedName name="_Hlt57101098" localSheetId="5">'Distribucion Programas III UTGV'!#REF!</definedName>
    <definedName name="_Hlt57101102" localSheetId="6">'Distrib Programas III Poyectos'!#REF!</definedName>
    <definedName name="_Hlt57101102" localSheetId="3">'Distribucion Programas I'!#REF!</definedName>
    <definedName name="_Hlt57101102" localSheetId="4">'Distribucion Programas II '!#REF!</definedName>
    <definedName name="_Hlt57101102" localSheetId="5">'Distribucion Programas III UTGV'!#REF!</definedName>
    <definedName name="_Hlt57101104" localSheetId="6">'Distrib Programas III Poyectos'!#REF!</definedName>
    <definedName name="_Hlt57101104" localSheetId="3">'Distribucion Programas I'!#REF!</definedName>
    <definedName name="_Hlt57101104" localSheetId="4">'Distribucion Programas II '!#REF!</definedName>
    <definedName name="_Hlt57101104" localSheetId="5">'Distribucion Programas III UTGV'!#REF!</definedName>
    <definedName name="_Hlt57101127" localSheetId="6">'Distrib Programas III Poyectos'!#REF!</definedName>
    <definedName name="_Hlt57101127" localSheetId="3">'Distribucion Programas I'!#REF!</definedName>
    <definedName name="_Hlt57101127" localSheetId="4">'Distribucion Programas II '!#REF!</definedName>
    <definedName name="_Hlt57101127" localSheetId="5">'Distribucion Programas III UTGV'!#REF!</definedName>
    <definedName name="_Hlt57101131" localSheetId="6">'Distrib Programas III Poyectos'!#REF!</definedName>
    <definedName name="_Hlt57101131" localSheetId="3">'Distribucion Programas I'!#REF!</definedName>
    <definedName name="_Hlt57101131" localSheetId="4">'Distribucion Programas II '!#REF!</definedName>
    <definedName name="_Hlt57101131" localSheetId="5">'Distribucion Programas III UTGV'!#REF!</definedName>
    <definedName name="_Hlt57101134" localSheetId="6">'Distrib Programas III Poyectos'!#REF!</definedName>
    <definedName name="_Hlt57101134" localSheetId="3">'Distribucion Programas I'!#REF!</definedName>
    <definedName name="_Hlt57101134" localSheetId="4">'Distribucion Programas II '!#REF!</definedName>
    <definedName name="_Hlt57101134" localSheetId="5">'Distribucion Programas III UTGV'!#REF!</definedName>
    <definedName name="_Hlt57101150" localSheetId="6">'Distrib Programas III Poyectos'!#REF!</definedName>
    <definedName name="_Hlt57101150" localSheetId="3">'Distribucion Programas I'!#REF!</definedName>
    <definedName name="_Hlt57101150" localSheetId="4">'Distribucion Programas II '!#REF!</definedName>
    <definedName name="_Hlt57101150" localSheetId="5">'Distribucion Programas III UTGV'!#REF!</definedName>
    <definedName name="_Hlt57101152" localSheetId="6">'Distrib Programas III Poyectos'!#REF!</definedName>
    <definedName name="_Hlt57101152" localSheetId="3">'Distribucion Programas I'!#REF!</definedName>
    <definedName name="_Hlt57101152" localSheetId="4">'Distribucion Programas II '!#REF!</definedName>
    <definedName name="_Hlt57101152" localSheetId="5">'Distribucion Programas III UTGV'!#REF!</definedName>
    <definedName name="_Hlt57101156" localSheetId="6">'Distrib Programas III Poyectos'!#REF!</definedName>
    <definedName name="_Hlt57101156" localSheetId="3">'Distribucion Programas I'!#REF!</definedName>
    <definedName name="_Hlt57101156" localSheetId="4">'Distribucion Programas II '!#REF!</definedName>
    <definedName name="_Hlt57101156" localSheetId="5">'Distribucion Programas III UTGV'!#REF!</definedName>
    <definedName name="_Hlt57101158" localSheetId="6">'Distrib Programas III Poyectos'!#REF!</definedName>
    <definedName name="_Hlt57101158" localSheetId="3">'Distribucion Programas I'!#REF!</definedName>
    <definedName name="_Hlt57101158" localSheetId="4">'Distribucion Programas II '!#REF!</definedName>
    <definedName name="_Hlt57101158" localSheetId="5">'Distribucion Programas III UTGV'!#REF!</definedName>
    <definedName name="_Hlt57101161" localSheetId="6">'Distrib Programas III Poyectos'!#REF!</definedName>
    <definedName name="_Hlt57101161" localSheetId="3">'Distribucion Programas I'!#REF!</definedName>
    <definedName name="_Hlt57101161" localSheetId="4">'Distribucion Programas II '!#REF!</definedName>
    <definedName name="_Hlt57101161" localSheetId="5">'Distribucion Programas III UTGV'!#REF!</definedName>
    <definedName name="_Hlt57101167" localSheetId="6">'Distrib Programas III Poyectos'!#REF!</definedName>
    <definedName name="_Hlt57101167" localSheetId="3">'Distribucion Programas I'!#REF!</definedName>
    <definedName name="_Hlt57101167" localSheetId="4">'Distribucion Programas II '!#REF!</definedName>
    <definedName name="_Hlt57101167" localSheetId="5">'Distribucion Programas III UTGV'!#REF!</definedName>
    <definedName name="_Hlt57101170" localSheetId="6">'Distrib Programas III Poyectos'!#REF!</definedName>
    <definedName name="_Hlt57101170" localSheetId="3">'Distribucion Programas I'!#REF!</definedName>
    <definedName name="_Hlt57101170" localSheetId="4">'Distribucion Programas II '!#REF!</definedName>
    <definedName name="_Hlt57101170" localSheetId="5">'Distribucion Programas III UTGV'!#REF!</definedName>
    <definedName name="_Hlt57101172" localSheetId="6">'Distrib Programas III Poyectos'!#REF!</definedName>
    <definedName name="_Hlt57101172" localSheetId="3">'Distribucion Programas I'!#REF!</definedName>
    <definedName name="_Hlt57101172" localSheetId="4">'Distribucion Programas II '!#REF!</definedName>
    <definedName name="_Hlt57101172" localSheetId="5">'Distribucion Programas III UTGV'!#REF!</definedName>
    <definedName name="_Hlt57101175" localSheetId="6">'Distrib Programas III Poyectos'!#REF!</definedName>
    <definedName name="_Hlt57101175" localSheetId="3">'Distribucion Programas I'!#REF!</definedName>
    <definedName name="_Hlt57101175" localSheetId="4">'Distribucion Programas II '!#REF!</definedName>
    <definedName name="_Hlt57101175" localSheetId="5">'Distribucion Programas III UTGV'!#REF!</definedName>
    <definedName name="_Hlt57101177" localSheetId="6">'Distrib Programas III Poyectos'!#REF!</definedName>
    <definedName name="_Hlt57101177" localSheetId="3">'Distribucion Programas I'!#REF!</definedName>
    <definedName name="_Hlt57101177" localSheetId="4">'Distribucion Programas II '!#REF!</definedName>
    <definedName name="_Hlt57101177" localSheetId="5">'Distribucion Programas III UTGV'!#REF!</definedName>
    <definedName name="_Hlt57101179" localSheetId="6">'Distrib Programas III Poyectos'!#REF!</definedName>
    <definedName name="_Hlt57101179" localSheetId="3">'Distribucion Programas I'!#REF!</definedName>
    <definedName name="_Hlt57101179" localSheetId="4">'Distribucion Programas II '!#REF!</definedName>
    <definedName name="_Hlt57101179" localSheetId="5">'Distribucion Programas III UTGV'!#REF!</definedName>
    <definedName name="_Hlt57101181" localSheetId="6">'Distrib Programas III Poyectos'!#REF!</definedName>
    <definedName name="_Hlt57101181" localSheetId="3">'Distribucion Programas I'!#REF!</definedName>
    <definedName name="_Hlt57101181" localSheetId="4">'Distribucion Programas II '!#REF!</definedName>
    <definedName name="_Hlt57101181" localSheetId="5">'Distribucion Programas III UTGV'!#REF!</definedName>
    <definedName name="_Hlt57101185" localSheetId="6">'Distrib Programas III Poyectos'!#REF!</definedName>
    <definedName name="_Hlt57101185" localSheetId="3">'Distribucion Programas I'!#REF!</definedName>
    <definedName name="_Hlt57101185" localSheetId="4">'Distribucion Programas II '!#REF!</definedName>
    <definedName name="_Hlt57101185" localSheetId="5">'Distribucion Programas III UTGV'!#REF!</definedName>
    <definedName name="_Hlt57101189" localSheetId="6">'Distrib Programas III Poyectos'!#REF!</definedName>
    <definedName name="_Hlt57101189" localSheetId="3">'Distribucion Programas I'!#REF!</definedName>
    <definedName name="_Hlt57101189" localSheetId="4">'Distribucion Programas II '!#REF!</definedName>
    <definedName name="_Hlt57101189" localSheetId="5">'Distribucion Programas III UTGV'!#REF!</definedName>
    <definedName name="_Hlt57101193" localSheetId="6">'Distrib Programas III Poyectos'!#REF!</definedName>
    <definedName name="_Hlt57101193" localSheetId="3">'Distribucion Programas I'!#REF!</definedName>
    <definedName name="_Hlt57101193" localSheetId="4">'Distribucion Programas II '!#REF!</definedName>
    <definedName name="_Hlt57101193" localSheetId="5">'Distribucion Programas III UTGV'!#REF!</definedName>
    <definedName name="_Hlt57101195" localSheetId="6">'Distrib Programas III Poyectos'!#REF!</definedName>
    <definedName name="_Hlt57101195" localSheetId="3">'Distribucion Programas I'!#REF!</definedName>
    <definedName name="_Hlt57101195" localSheetId="4">'Distribucion Programas II '!#REF!</definedName>
    <definedName name="_Hlt57101195" localSheetId="5">'Distribucion Programas III UTGV'!#REF!</definedName>
    <definedName name="_Hlt57101197" localSheetId="6">'Distrib Programas III Poyectos'!#REF!</definedName>
    <definedName name="_Hlt57101197" localSheetId="3">'Distribucion Programas I'!#REF!</definedName>
    <definedName name="_Hlt57101197" localSheetId="4">'Distribucion Programas II '!#REF!</definedName>
    <definedName name="_Hlt57101197" localSheetId="5">'Distribucion Programas III UTGV'!#REF!</definedName>
    <definedName name="_Hlt57101200" localSheetId="6">'Distrib Programas III Poyectos'!#REF!</definedName>
    <definedName name="_Hlt57101200" localSheetId="3">'Distribucion Programas I'!#REF!</definedName>
    <definedName name="_Hlt57101200" localSheetId="4">'Distribucion Programas II '!#REF!</definedName>
    <definedName name="_Hlt57101200" localSheetId="5">'Distribucion Programas III UTGV'!#REF!</definedName>
    <definedName name="_Hlt57101202" localSheetId="6">'Distrib Programas III Poyectos'!#REF!</definedName>
    <definedName name="_Hlt57101202" localSheetId="3">'Distribucion Programas I'!#REF!</definedName>
    <definedName name="_Hlt57101202" localSheetId="4">'Distribucion Programas II '!#REF!</definedName>
    <definedName name="_Hlt57101202" localSheetId="5">'Distribucion Programas III UTGV'!#REF!</definedName>
    <definedName name="_Hlt57101204" localSheetId="6">'Distrib Programas III Poyectos'!#REF!</definedName>
    <definedName name="_Hlt57101204" localSheetId="3">'Distribucion Programas I'!#REF!</definedName>
    <definedName name="_Hlt57101204" localSheetId="4">'Distribucion Programas II '!#REF!</definedName>
    <definedName name="_Hlt57101204" localSheetId="5">'Distribucion Programas III UTGV'!#REF!</definedName>
    <definedName name="_Hlt57101207" localSheetId="6">'Distrib Programas III Poyectos'!#REF!</definedName>
    <definedName name="_Hlt57101207" localSheetId="3">'Distribucion Programas I'!#REF!</definedName>
    <definedName name="_Hlt57101207" localSheetId="4">'Distribucion Programas II '!#REF!</definedName>
    <definedName name="_Hlt57101207" localSheetId="5">'Distribucion Programas III UTGV'!#REF!</definedName>
    <definedName name="_Hlt57101209" localSheetId="6">'Distrib Programas III Poyectos'!#REF!</definedName>
    <definedName name="_Hlt57101209" localSheetId="3">'Distribucion Programas I'!#REF!</definedName>
    <definedName name="_Hlt57101209" localSheetId="4">'Distribucion Programas II '!#REF!</definedName>
    <definedName name="_Hlt57101209" localSheetId="5">'Distribucion Programas III UTGV'!#REF!</definedName>
    <definedName name="_Hlt57101212" localSheetId="6">'Distrib Programas III Poyectos'!#REF!</definedName>
    <definedName name="_Hlt57101212" localSheetId="3">'Distribucion Programas I'!#REF!</definedName>
    <definedName name="_Hlt57101212" localSheetId="4">'Distribucion Programas II '!#REF!</definedName>
    <definedName name="_Hlt57101212" localSheetId="5">'Distribucion Programas III UTGV'!#REF!</definedName>
    <definedName name="_Hlt57101215" localSheetId="6">'Distrib Programas III Poyectos'!#REF!</definedName>
    <definedName name="_Hlt57101215" localSheetId="3">'Distribucion Programas I'!#REF!</definedName>
    <definedName name="_Hlt57101215" localSheetId="4">'Distribucion Programas II '!#REF!</definedName>
    <definedName name="_Hlt57101215" localSheetId="5">'Distribucion Programas III UTGV'!#REF!</definedName>
    <definedName name="_Hlt57101219" localSheetId="6">'Distrib Programas III Poyectos'!#REF!</definedName>
    <definedName name="_Hlt57101219" localSheetId="3">'Distribucion Programas I'!#REF!</definedName>
    <definedName name="_Hlt57101219" localSheetId="4">'Distribucion Programas II '!#REF!</definedName>
    <definedName name="_Hlt57101219" localSheetId="5">'Distribucion Programas III UTGV'!#REF!</definedName>
    <definedName name="_Hlt57101221" localSheetId="6">'Distrib Programas III Poyectos'!#REF!</definedName>
    <definedName name="_Hlt57101221" localSheetId="3">'Distribucion Programas I'!#REF!</definedName>
    <definedName name="_Hlt57101221" localSheetId="4">'Distribucion Programas II '!#REF!</definedName>
    <definedName name="_Hlt57101221" localSheetId="5">'Distribucion Programas III UTGV'!#REF!</definedName>
    <definedName name="_Hlt57101223" localSheetId="6">'Distrib Programas III Poyectos'!#REF!</definedName>
    <definedName name="_Hlt57101223" localSheetId="3">'Distribucion Programas I'!#REF!</definedName>
    <definedName name="_Hlt57101223" localSheetId="4">'Distribucion Programas II '!#REF!</definedName>
    <definedName name="_Hlt57101223" localSheetId="5">'Distribucion Programas III UTGV'!#REF!</definedName>
    <definedName name="_Hlt57101225" localSheetId="6">'Distrib Programas III Poyectos'!#REF!</definedName>
    <definedName name="_Hlt57101225" localSheetId="3">'Distribucion Programas I'!#REF!</definedName>
    <definedName name="_Hlt57101225" localSheetId="4">'Distribucion Programas II '!#REF!</definedName>
    <definedName name="_Hlt57101225" localSheetId="5">'Distribucion Programas III UTGV'!#REF!</definedName>
    <definedName name="_Hlt57101227" localSheetId="6">'Distrib Programas III Poyectos'!#REF!</definedName>
    <definedName name="_Hlt57101227" localSheetId="3">'Distribucion Programas I'!#REF!</definedName>
    <definedName name="_Hlt57101227" localSheetId="4">'Distribucion Programas II '!#REF!</definedName>
    <definedName name="_Hlt57101227" localSheetId="5">'Distribucion Programas III UTGV'!#REF!</definedName>
    <definedName name="_Hlt57101229" localSheetId="6">'Distrib Programas III Poyectos'!#REF!</definedName>
    <definedName name="_Hlt57101229" localSheetId="3">'Distribucion Programas I'!#REF!</definedName>
    <definedName name="_Hlt57101229" localSheetId="4">'Distribucion Programas II '!#REF!</definedName>
    <definedName name="_Hlt57101229" localSheetId="5">'Distribucion Programas III UTGV'!#REF!</definedName>
    <definedName name="_Hlt57101233" localSheetId="6">'Distrib Programas III Poyectos'!#REF!</definedName>
    <definedName name="_Hlt57101233" localSheetId="3">'Distribucion Programas I'!#REF!</definedName>
    <definedName name="_Hlt57101233" localSheetId="4">'Distribucion Programas II '!#REF!</definedName>
    <definedName name="_Hlt57101233" localSheetId="5">'Distribucion Programas III UTGV'!#REF!</definedName>
    <definedName name="_Hlt57101236" localSheetId="6">'Distrib Programas III Poyectos'!#REF!</definedName>
    <definedName name="_Hlt57101236" localSheetId="3">'Distribucion Programas I'!#REF!</definedName>
    <definedName name="_Hlt57101236" localSheetId="4">'Distribucion Programas II '!#REF!</definedName>
    <definedName name="_Hlt57101236" localSheetId="5">'Distribucion Programas III UTGV'!#REF!</definedName>
    <definedName name="_Hlt57101238" localSheetId="6">'Distrib Programas III Poyectos'!#REF!</definedName>
    <definedName name="_Hlt57101238" localSheetId="3">'Distribucion Programas I'!#REF!</definedName>
    <definedName name="_Hlt57101238" localSheetId="4">'Distribucion Programas II '!#REF!</definedName>
    <definedName name="_Hlt57101238" localSheetId="5">'Distribucion Programas III UTGV'!#REF!</definedName>
    <definedName name="_Hlt57101240" localSheetId="6">'Distrib Programas III Poyectos'!#REF!</definedName>
    <definedName name="_Hlt57101240" localSheetId="3">'Distribucion Programas I'!#REF!</definedName>
    <definedName name="_Hlt57101240" localSheetId="4">'Distribucion Programas II '!#REF!</definedName>
    <definedName name="_Hlt57101240" localSheetId="5">'Distribucion Programas III UTGV'!#REF!</definedName>
    <definedName name="_Hlt57101243" localSheetId="6">'Distrib Programas III Poyectos'!#REF!</definedName>
    <definedName name="_Hlt57101243" localSheetId="3">'Distribucion Programas I'!#REF!</definedName>
    <definedName name="_Hlt57101243" localSheetId="4">'Distribucion Programas II '!#REF!</definedName>
    <definedName name="_Hlt57101243" localSheetId="5">'Distribucion Programas III UTGV'!#REF!</definedName>
    <definedName name="_Hlt57101245" localSheetId="6">'Distrib Programas III Poyectos'!#REF!</definedName>
    <definedName name="_Hlt57101245" localSheetId="3">'Distribucion Programas I'!#REF!</definedName>
    <definedName name="_Hlt57101245" localSheetId="4">'Distribucion Programas II '!#REF!</definedName>
    <definedName name="_Hlt57101245" localSheetId="5">'Distribucion Programas III UTGV'!#REF!</definedName>
    <definedName name="_Hlt57101249" localSheetId="6">'Distrib Programas III Poyectos'!#REF!</definedName>
    <definedName name="_Hlt57101249" localSheetId="3">'Distribucion Programas I'!#REF!</definedName>
    <definedName name="_Hlt57101249" localSheetId="4">'Distribucion Programas II '!#REF!</definedName>
    <definedName name="_Hlt57101249" localSheetId="5">'Distribucion Programas III UTGV'!#REF!</definedName>
    <definedName name="_Hlt57101251" localSheetId="6">'Distrib Programas III Poyectos'!#REF!</definedName>
    <definedName name="_Hlt57101251" localSheetId="3">'Distribucion Programas I'!#REF!</definedName>
    <definedName name="_Hlt57101251" localSheetId="4">'Distribucion Programas II '!#REF!</definedName>
    <definedName name="_Hlt57101251" localSheetId="5">'Distribucion Programas III UTGV'!#REF!</definedName>
    <definedName name="_Hlt57101263" localSheetId="6">'Distrib Programas III Poyectos'!#REF!</definedName>
    <definedName name="_Hlt57101263" localSheetId="3">'Distribucion Programas I'!#REF!</definedName>
    <definedName name="_Hlt57101263" localSheetId="4">'Distribucion Programas II '!#REF!</definedName>
    <definedName name="_Hlt57101263" localSheetId="5">'Distribucion Programas III UTGV'!#REF!</definedName>
    <definedName name="_Hlt57101266" localSheetId="6">'Distrib Programas III Poyectos'!#REF!</definedName>
    <definedName name="_Hlt57101266" localSheetId="3">'Distribucion Programas I'!#REF!</definedName>
    <definedName name="_Hlt57101266" localSheetId="4">'Distribucion Programas II '!#REF!</definedName>
    <definedName name="_Hlt57101266" localSheetId="5">'Distribucion Programas III UTGV'!#REF!</definedName>
    <definedName name="_Hlt57101289" localSheetId="6">'Distrib Programas III Poyectos'!#REF!</definedName>
    <definedName name="_Hlt57101289" localSheetId="3">'Distribucion Programas I'!#REF!</definedName>
    <definedName name="_Hlt57101289" localSheetId="4">'Distribucion Programas II '!#REF!</definedName>
    <definedName name="_Hlt57101289" localSheetId="5">'Distribucion Programas III UTGV'!#REF!</definedName>
    <definedName name="_Hlt57101292" localSheetId="6">'Distrib Programas III Poyectos'!#REF!</definedName>
    <definedName name="_Hlt57101292" localSheetId="3">'Distribucion Programas I'!#REF!</definedName>
    <definedName name="_Hlt57101292" localSheetId="4">'Distribucion Programas II '!#REF!</definedName>
    <definedName name="_Hlt57101292" localSheetId="5">'Distribucion Programas III UTGV'!#REF!</definedName>
    <definedName name="_Hlt57101314" localSheetId="6">'Distrib Programas III Poyectos'!#REF!</definedName>
    <definedName name="_Hlt57101314" localSheetId="3">'Distribucion Programas I'!#REF!</definedName>
    <definedName name="_Hlt57101314" localSheetId="4">'Distribucion Programas II '!#REF!</definedName>
    <definedName name="_Hlt57101314" localSheetId="5">'Distribucion Programas III UTGV'!#REF!</definedName>
    <definedName name="_Hlt57101318" localSheetId="6">'Distrib Programas III Poyectos'!#REF!</definedName>
    <definedName name="_Hlt57101318" localSheetId="3">'Distribucion Programas I'!#REF!</definedName>
    <definedName name="_Hlt57101318" localSheetId="4">'Distribucion Programas II '!#REF!</definedName>
    <definedName name="_Hlt57101318" localSheetId="5">'Distribucion Programas III UTGV'!#REF!</definedName>
    <definedName name="_Hlt57101325" localSheetId="6">'Distrib Programas III Poyectos'!#REF!</definedName>
    <definedName name="_Hlt57101325" localSheetId="3">'Distribucion Programas I'!#REF!</definedName>
    <definedName name="_Hlt57101325" localSheetId="4">'Distribucion Programas II '!#REF!</definedName>
    <definedName name="_Hlt57101325" localSheetId="5">'Distribucion Programas III UTGV'!#REF!</definedName>
    <definedName name="_Hlt57101327" localSheetId="6">'Distrib Programas III Poyectos'!#REF!</definedName>
    <definedName name="_Hlt57101327" localSheetId="3">'Distribucion Programas I'!#REF!</definedName>
    <definedName name="_Hlt57101327" localSheetId="4">'Distribucion Programas II '!#REF!</definedName>
    <definedName name="_Hlt57101327" localSheetId="5">'Distribucion Programas III UTGV'!#REF!</definedName>
    <definedName name="_Hlt57101330" localSheetId="6">'Distrib Programas III Poyectos'!#REF!</definedName>
    <definedName name="_Hlt57101330" localSheetId="3">'Distribucion Programas I'!#REF!</definedName>
    <definedName name="_Hlt57101330" localSheetId="4">'Distribucion Programas II '!#REF!</definedName>
    <definedName name="_Hlt57101330" localSheetId="5">'Distribucion Programas III UTGV'!#REF!</definedName>
    <definedName name="_Hlt57101332" localSheetId="6">'Distrib Programas III Poyectos'!#REF!</definedName>
    <definedName name="_Hlt57101332" localSheetId="3">'Distribucion Programas I'!#REF!</definedName>
    <definedName name="_Hlt57101332" localSheetId="4">'Distribucion Programas II '!#REF!</definedName>
    <definedName name="_Hlt57101332" localSheetId="5">'Distribucion Programas III UTGV'!#REF!</definedName>
    <definedName name="_Hlt57101335" localSheetId="6">'Distrib Programas III Poyectos'!#REF!</definedName>
    <definedName name="_Hlt57101335" localSheetId="3">'Distribucion Programas I'!#REF!</definedName>
    <definedName name="_Hlt57101335" localSheetId="4">'Distribucion Programas II '!#REF!</definedName>
    <definedName name="_Hlt57101335" localSheetId="5">'Distribucion Programas III UTGV'!#REF!</definedName>
    <definedName name="_Hlt57101339" localSheetId="6">'Distrib Programas III Poyectos'!#REF!</definedName>
    <definedName name="_Hlt57101339" localSheetId="3">'Distribucion Programas I'!#REF!</definedName>
    <definedName name="_Hlt57101339" localSheetId="4">'Distribucion Programas II '!#REF!</definedName>
    <definedName name="_Hlt57101339" localSheetId="5">'Distribucion Programas III UTGV'!#REF!</definedName>
    <definedName name="_Hlt57101341" localSheetId="6">'Distrib Programas III Poyectos'!#REF!</definedName>
    <definedName name="_Hlt57101341" localSheetId="3">'Distribucion Programas I'!#REF!</definedName>
    <definedName name="_Hlt57101341" localSheetId="4">'Distribucion Programas II '!#REF!</definedName>
    <definedName name="_Hlt57101341" localSheetId="5">'Distribucion Programas III UTGV'!#REF!</definedName>
    <definedName name="_Hlt57101344" localSheetId="6">'Distrib Programas III Poyectos'!#REF!</definedName>
    <definedName name="_Hlt57101344" localSheetId="3">'Distribucion Programas I'!#REF!</definedName>
    <definedName name="_Hlt57101344" localSheetId="4">'Distribucion Programas II '!#REF!</definedName>
    <definedName name="_Hlt57101344" localSheetId="5">'Distribucion Programas III UTGV'!#REF!</definedName>
    <definedName name="_Hlt57101346" localSheetId="6">'Distrib Programas III Poyectos'!#REF!</definedName>
    <definedName name="_Hlt57101346" localSheetId="3">'Distribucion Programas I'!#REF!</definedName>
    <definedName name="_Hlt57101346" localSheetId="4">'Distribucion Programas II '!#REF!</definedName>
    <definedName name="_Hlt57101346" localSheetId="5">'Distribucion Programas III UTGV'!#REF!</definedName>
    <definedName name="_Hlt57101348" localSheetId="6">'Distrib Programas III Poyectos'!#REF!</definedName>
    <definedName name="_Hlt57101348" localSheetId="3">'Distribucion Programas I'!#REF!</definedName>
    <definedName name="_Hlt57101348" localSheetId="4">'Distribucion Programas II '!#REF!</definedName>
    <definedName name="_Hlt57101348" localSheetId="5">'Distribucion Programas III UTGV'!#REF!</definedName>
    <definedName name="_Hlt57101351" localSheetId="6">'Distrib Programas III Poyectos'!#REF!</definedName>
    <definedName name="_Hlt57101351" localSheetId="3">'Distribucion Programas I'!#REF!</definedName>
    <definedName name="_Hlt57101351" localSheetId="4">'Distribucion Programas II '!#REF!</definedName>
    <definedName name="_Hlt57101351" localSheetId="5">'Distribucion Programas III UTGV'!#REF!</definedName>
    <definedName name="_Hlt57101353" localSheetId="6">'Distrib Programas III Poyectos'!#REF!</definedName>
    <definedName name="_Hlt57101353" localSheetId="3">'Distribucion Programas I'!#REF!</definedName>
    <definedName name="_Hlt57101353" localSheetId="4">'Distribucion Programas II '!#REF!</definedName>
    <definedName name="_Hlt57101353" localSheetId="5">'Distribucion Programas III UTGV'!#REF!</definedName>
    <definedName name="_Hlt57101355" localSheetId="6">'Distrib Programas III Poyectos'!#REF!</definedName>
    <definedName name="_Hlt57101355" localSheetId="3">'Distribucion Programas I'!#REF!</definedName>
    <definedName name="_Hlt57101355" localSheetId="4">'Distribucion Programas II '!#REF!</definedName>
    <definedName name="_Hlt57101355" localSheetId="5">'Distribucion Programas III UTGV'!#REF!</definedName>
    <definedName name="_Hlt57101357" localSheetId="6">'Distrib Programas III Poyectos'!#REF!</definedName>
    <definedName name="_Hlt57101357" localSheetId="3">'Distribucion Programas I'!#REF!</definedName>
    <definedName name="_Hlt57101357" localSheetId="4">'Distribucion Programas II '!#REF!</definedName>
    <definedName name="_Hlt57101357" localSheetId="5">'Distribucion Programas III UTGV'!#REF!</definedName>
    <definedName name="_Hlt57101360" localSheetId="6">'Distrib Programas III Poyectos'!#REF!</definedName>
    <definedName name="_Hlt57101360" localSheetId="3">'Distribucion Programas I'!#REF!</definedName>
    <definedName name="_Hlt57101360" localSheetId="4">'Distribucion Programas II '!#REF!</definedName>
    <definedName name="_Hlt57101360" localSheetId="5">'Distribucion Programas III UTGV'!#REF!</definedName>
    <definedName name="_Hlt57101362" localSheetId="6">'Distrib Programas III Poyectos'!#REF!</definedName>
    <definedName name="_Hlt57101362" localSheetId="3">'Distribucion Programas I'!#REF!</definedName>
    <definedName name="_Hlt57101362" localSheetId="4">'Distribucion Programas II '!#REF!</definedName>
    <definedName name="_Hlt57101362" localSheetId="5">'Distribucion Programas III UTGV'!#REF!</definedName>
    <definedName name="_Hlt57101365" localSheetId="6">'Distrib Programas III Poyectos'!#REF!</definedName>
    <definedName name="_Hlt57101365" localSheetId="3">'Distribucion Programas I'!#REF!</definedName>
    <definedName name="_Hlt57101365" localSheetId="4">'Distribucion Programas II '!#REF!</definedName>
    <definedName name="_Hlt57101365" localSheetId="5">'Distribucion Programas III UTGV'!#REF!</definedName>
    <definedName name="_Hlt57101367" localSheetId="6">'Distrib Programas III Poyectos'!#REF!</definedName>
    <definedName name="_Hlt57101367" localSheetId="3">'Distribucion Programas I'!#REF!</definedName>
    <definedName name="_Hlt57101367" localSheetId="4">'Distribucion Programas II '!#REF!</definedName>
    <definedName name="_Hlt57101367" localSheetId="5">'Distribucion Programas III UTGV'!#REF!</definedName>
    <definedName name="_Hlt57101369" localSheetId="6">'Distrib Programas III Poyectos'!#REF!</definedName>
    <definedName name="_Hlt57101369" localSheetId="3">'Distribucion Programas I'!#REF!</definedName>
    <definedName name="_Hlt57101369" localSheetId="4">'Distribucion Programas II '!#REF!</definedName>
    <definedName name="_Hlt57101369" localSheetId="5">'Distribucion Programas III UTGV'!#REF!</definedName>
    <definedName name="_Hlt57101372" localSheetId="6">'Distrib Programas III Poyectos'!#REF!</definedName>
    <definedName name="_Hlt57101372" localSheetId="3">'Distribucion Programas I'!#REF!</definedName>
    <definedName name="_Hlt57101372" localSheetId="4">'Distribucion Programas II '!#REF!</definedName>
    <definedName name="_Hlt57101372" localSheetId="5">'Distribucion Programas III UTGV'!#REF!</definedName>
    <definedName name="_Hlt57101374" localSheetId="6">'Distrib Programas III Poyectos'!#REF!</definedName>
    <definedName name="_Hlt57101374" localSheetId="3">'Distribucion Programas I'!#REF!</definedName>
    <definedName name="_Hlt57101374" localSheetId="4">'Distribucion Programas II '!#REF!</definedName>
    <definedName name="_Hlt57101374" localSheetId="5">'Distribucion Programas III UTGV'!#REF!</definedName>
    <definedName name="_Hlt57101377" localSheetId="6">'Distrib Programas III Poyectos'!#REF!</definedName>
    <definedName name="_Hlt57101377" localSheetId="3">'Distribucion Programas I'!#REF!</definedName>
    <definedName name="_Hlt57101377" localSheetId="4">'Distribucion Programas II '!#REF!</definedName>
    <definedName name="_Hlt57101377" localSheetId="5">'Distribucion Programas III UTGV'!#REF!</definedName>
    <definedName name="_Hlt57101379" localSheetId="6">'Distrib Programas III Poyectos'!#REF!</definedName>
    <definedName name="_Hlt57101379" localSheetId="3">'Distribucion Programas I'!#REF!</definedName>
    <definedName name="_Hlt57101379" localSheetId="4">'Distribucion Programas II '!#REF!</definedName>
    <definedName name="_Hlt57101379" localSheetId="5">'Distribucion Programas III UTGV'!#REF!</definedName>
    <definedName name="_Hlt57101381" localSheetId="6">'Distrib Programas III Poyectos'!#REF!</definedName>
    <definedName name="_Hlt57101381" localSheetId="3">'Distribucion Programas I'!#REF!</definedName>
    <definedName name="_Hlt57101381" localSheetId="4">'Distribucion Programas II '!#REF!</definedName>
    <definedName name="_Hlt57101381" localSheetId="5">'Distribucion Programas III UTGV'!#REF!</definedName>
    <definedName name="_Hlt57101385" localSheetId="6">'Distrib Programas III Poyectos'!#REF!</definedName>
    <definedName name="_Hlt57101385" localSheetId="3">'Distribucion Programas I'!#REF!</definedName>
    <definedName name="_Hlt57101385" localSheetId="4">'Distribucion Programas II '!#REF!</definedName>
    <definedName name="_Hlt57101385" localSheetId="5">'Distribucion Programas III UTGV'!#REF!</definedName>
    <definedName name="_Hlt57101388" localSheetId="6">'Distrib Programas III Poyectos'!#REF!</definedName>
    <definedName name="_Hlt57101388" localSheetId="3">'Distribucion Programas I'!#REF!</definedName>
    <definedName name="_Hlt57101388" localSheetId="4">'Distribucion Programas II '!#REF!</definedName>
    <definedName name="_Hlt57101388" localSheetId="5">'Distribucion Programas III UTGV'!#REF!</definedName>
    <definedName name="_Hlt57101390" localSheetId="6">'Distrib Programas III Poyectos'!#REF!</definedName>
    <definedName name="_Hlt57101390" localSheetId="3">'Distribucion Programas I'!#REF!</definedName>
    <definedName name="_Hlt57101390" localSheetId="4">'Distribucion Programas II '!#REF!</definedName>
    <definedName name="_Hlt57101390" localSheetId="5">'Distribucion Programas III UTGV'!#REF!</definedName>
    <definedName name="_Hlt57101392" localSheetId="6">'Distrib Programas III Poyectos'!#REF!</definedName>
    <definedName name="_Hlt57101392" localSheetId="3">'Distribucion Programas I'!#REF!</definedName>
    <definedName name="_Hlt57101392" localSheetId="4">'Distribucion Programas II '!#REF!</definedName>
    <definedName name="_Hlt57101392" localSheetId="5">'Distribucion Programas III UTGV'!#REF!</definedName>
    <definedName name="_Hlt57101395" localSheetId="6">'Distrib Programas III Poyectos'!#REF!</definedName>
    <definedName name="_Hlt57101395" localSheetId="3">'Distribucion Programas I'!#REF!</definedName>
    <definedName name="_Hlt57101395" localSheetId="4">'Distribucion Programas II '!#REF!</definedName>
    <definedName name="_Hlt57101395" localSheetId="5">'Distribucion Programas III UTGV'!#REF!</definedName>
    <definedName name="_Hlt57101398" localSheetId="6">'Distrib Programas III Poyectos'!#REF!</definedName>
    <definedName name="_Hlt57101398" localSheetId="3">'Distribucion Programas I'!#REF!</definedName>
    <definedName name="_Hlt57101398" localSheetId="4">'Distribucion Programas II '!#REF!</definedName>
    <definedName name="_Hlt57101398" localSheetId="5">'Distribucion Programas III UTGV'!#REF!</definedName>
    <definedName name="_Hlt57101400" localSheetId="6">'Distrib Programas III Poyectos'!#REF!</definedName>
    <definedName name="_Hlt57101400" localSheetId="3">'Distribucion Programas I'!#REF!</definedName>
    <definedName name="_Hlt57101400" localSheetId="4">'Distribucion Programas II '!#REF!</definedName>
    <definedName name="_Hlt57101400" localSheetId="5">'Distribucion Programas III UTGV'!#REF!</definedName>
    <definedName name="_Hlt57101402" localSheetId="6">'Distrib Programas III Poyectos'!#REF!</definedName>
    <definedName name="_Hlt57101402" localSheetId="3">'Distribucion Programas I'!#REF!</definedName>
    <definedName name="_Hlt57101402" localSheetId="4">'Distribucion Programas II '!#REF!</definedName>
    <definedName name="_Hlt57101402" localSheetId="5">'Distribucion Programas III UTGV'!#REF!</definedName>
    <definedName name="_Hlt57101404" localSheetId="6">'Distrib Programas III Poyectos'!#REF!</definedName>
    <definedName name="_Hlt57101404" localSheetId="3">'Distribucion Programas I'!#REF!</definedName>
    <definedName name="_Hlt57101404" localSheetId="4">'Distribucion Programas II '!#REF!</definedName>
    <definedName name="_Hlt57101404" localSheetId="5">'Distribucion Programas III UTGV'!#REF!</definedName>
    <definedName name="_Hlt57101407" localSheetId="6">'Distrib Programas III Poyectos'!#REF!</definedName>
    <definedName name="_Hlt57101407" localSheetId="3">'Distribucion Programas I'!#REF!</definedName>
    <definedName name="_Hlt57101407" localSheetId="4">'Distribucion Programas II '!#REF!</definedName>
    <definedName name="_Hlt57101407" localSheetId="5">'Distribucion Programas III UTGV'!#REF!</definedName>
    <definedName name="_Hlt57101409" localSheetId="6">'Distrib Programas III Poyectos'!#REF!</definedName>
    <definedName name="_Hlt57101409" localSheetId="3">'Distribucion Programas I'!#REF!</definedName>
    <definedName name="_Hlt57101409" localSheetId="4">'Distribucion Programas II '!#REF!</definedName>
    <definedName name="_Hlt57101409" localSheetId="5">'Distribucion Programas III UTGV'!#REF!</definedName>
    <definedName name="_Hlt57101411" localSheetId="6">'Distrib Programas III Poyectos'!#REF!</definedName>
    <definedName name="_Hlt57101411" localSheetId="3">'Distribucion Programas I'!#REF!</definedName>
    <definedName name="_Hlt57101411" localSheetId="4">'Distribucion Programas II '!#REF!</definedName>
    <definedName name="_Hlt57101411" localSheetId="5">'Distribucion Programas III UTGV'!#REF!</definedName>
    <definedName name="_Hlt57101418" localSheetId="6">'Distrib Programas III Poyectos'!#REF!</definedName>
    <definedName name="_Hlt57101418" localSheetId="3">'Distribucion Programas I'!#REF!</definedName>
    <definedName name="_Hlt57101418" localSheetId="4">'Distribucion Programas II '!#REF!</definedName>
    <definedName name="_Hlt57101418" localSheetId="5">'Distribucion Programas III UTGV'!#REF!</definedName>
    <definedName name="_Hlt57101420" localSheetId="6">'Distrib Programas III Poyectos'!#REF!</definedName>
    <definedName name="_Hlt57101420" localSheetId="3">'Distribucion Programas I'!#REF!</definedName>
    <definedName name="_Hlt57101420" localSheetId="4">'Distribucion Programas II '!#REF!</definedName>
    <definedName name="_Hlt57101420" localSheetId="5">'Distribucion Programas III UTGV'!#REF!</definedName>
    <definedName name="_Hlt57101424" localSheetId="6">'Distrib Programas III Poyectos'!#REF!</definedName>
    <definedName name="_Hlt57101424" localSheetId="3">'Distribucion Programas I'!#REF!</definedName>
    <definedName name="_Hlt57101424" localSheetId="4">'Distribucion Programas II '!#REF!</definedName>
    <definedName name="_Hlt57101424" localSheetId="5">'Distribucion Programas III UTGV'!#REF!</definedName>
    <definedName name="_Hlt57101426" localSheetId="6">'Distrib Programas III Poyectos'!#REF!</definedName>
    <definedName name="_Hlt57101426" localSheetId="3">'Distribucion Programas I'!#REF!</definedName>
    <definedName name="_Hlt57101426" localSheetId="4">'Distribucion Programas II '!#REF!</definedName>
    <definedName name="_Hlt57101426" localSheetId="5">'Distribucion Programas III UTGV'!#REF!</definedName>
    <definedName name="_Hlt57101428" localSheetId="6">'Distrib Programas III Poyectos'!#REF!</definedName>
    <definedName name="_Hlt57101428" localSheetId="3">'Distribucion Programas I'!#REF!</definedName>
    <definedName name="_Hlt57101428" localSheetId="4">'Distribucion Programas II '!#REF!</definedName>
    <definedName name="_Hlt57101428" localSheetId="5">'Distribucion Programas III UTGV'!#REF!</definedName>
    <definedName name="_Hlt57101430" localSheetId="6">'Distrib Programas III Poyectos'!#REF!</definedName>
    <definedName name="_Hlt57101430" localSheetId="3">'Distribucion Programas I'!#REF!</definedName>
    <definedName name="_Hlt57101430" localSheetId="4">'Distribucion Programas II '!#REF!</definedName>
    <definedName name="_Hlt57101430" localSheetId="5">'Distribucion Programas III UTGV'!#REF!</definedName>
    <definedName name="_Hlt57101432" localSheetId="6">'Distrib Programas III Poyectos'!#REF!</definedName>
    <definedName name="_Hlt57101432" localSheetId="3">'Distribucion Programas I'!#REF!</definedName>
    <definedName name="_Hlt57101432" localSheetId="4">'Distribucion Programas II '!#REF!</definedName>
    <definedName name="_Hlt57101432" localSheetId="5">'Distribucion Programas III UTGV'!#REF!</definedName>
    <definedName name="_Hlt57101435" localSheetId="6">'Distrib Programas III Poyectos'!#REF!</definedName>
    <definedName name="_Hlt57101435" localSheetId="3">'Distribucion Programas I'!#REF!</definedName>
    <definedName name="_Hlt57101435" localSheetId="4">'Distribucion Programas II '!#REF!</definedName>
    <definedName name="_Hlt57101435" localSheetId="5">'Distribucion Programas III UTGV'!#REF!</definedName>
    <definedName name="_Hlt57101437" localSheetId="6">'Distrib Programas III Poyectos'!#REF!</definedName>
    <definedName name="_Hlt57101437" localSheetId="3">'Distribucion Programas I'!#REF!</definedName>
    <definedName name="_Hlt57101437" localSheetId="4">'Distribucion Programas II '!#REF!</definedName>
    <definedName name="_Hlt57101437" localSheetId="5">'Distribucion Programas III UTGV'!#REF!</definedName>
    <definedName name="_Hlt57101439" localSheetId="6">'Distrib Programas III Poyectos'!#REF!</definedName>
    <definedName name="_Hlt57101439" localSheetId="3">'Distribucion Programas I'!#REF!</definedName>
    <definedName name="_Hlt57101439" localSheetId="4">'Distribucion Programas II '!#REF!</definedName>
    <definedName name="_Hlt57101439" localSheetId="5">'Distribucion Programas III UTGV'!#REF!</definedName>
    <definedName name="_Hlt57101441" localSheetId="6">'Distrib Programas III Poyectos'!#REF!</definedName>
    <definedName name="_Hlt57101441" localSheetId="3">'Distribucion Programas I'!#REF!</definedName>
    <definedName name="_Hlt57101441" localSheetId="4">'Distribucion Programas II '!#REF!</definedName>
    <definedName name="_Hlt57101441" localSheetId="5">'Distribucion Programas III UTGV'!#REF!</definedName>
    <definedName name="_Hlt57101444" localSheetId="6">'Distrib Programas III Poyectos'!#REF!</definedName>
    <definedName name="_Hlt57101444" localSheetId="3">'Distribucion Programas I'!#REF!</definedName>
    <definedName name="_Hlt57101444" localSheetId="4">'Distribucion Programas II '!#REF!</definedName>
    <definedName name="_Hlt57101444" localSheetId="5">'Distribucion Programas III UTGV'!#REF!</definedName>
    <definedName name="_Hlt57101446" localSheetId="6">'Distrib Programas III Poyectos'!#REF!</definedName>
    <definedName name="_Hlt57101446" localSheetId="3">'Distribucion Programas I'!#REF!</definedName>
    <definedName name="_Hlt57101446" localSheetId="4">'Distribucion Programas II '!#REF!</definedName>
    <definedName name="_Hlt57101446" localSheetId="5">'Distribucion Programas III UTGV'!#REF!</definedName>
    <definedName name="_Hlt57101448" localSheetId="6">'Distrib Programas III Poyectos'!#REF!</definedName>
    <definedName name="_Hlt57101448" localSheetId="3">'Distribucion Programas I'!#REF!</definedName>
    <definedName name="_Hlt57101448" localSheetId="4">'Distribucion Programas II '!#REF!</definedName>
    <definedName name="_Hlt57101448" localSheetId="5">'Distribucion Programas III UTGV'!#REF!</definedName>
    <definedName name="_Hlt57101783" localSheetId="6">'Distrib Programas III Poyectos'!#REF!</definedName>
    <definedName name="_Hlt57101783" localSheetId="3">'Distribucion Programas I'!#REF!</definedName>
    <definedName name="_Hlt57101783" localSheetId="4">'Distribucion Programas II '!#REF!</definedName>
    <definedName name="_Hlt57101783" localSheetId="5">'Distribucion Programas III UTGV'!#REF!</definedName>
    <definedName name="_Hlt57101788" localSheetId="6">'Distrib Programas III Poyectos'!#REF!</definedName>
    <definedName name="_Hlt57101788" localSheetId="3">'Distribucion Programas I'!#REF!</definedName>
    <definedName name="_Hlt57101788" localSheetId="4">'Distribucion Programas II '!#REF!</definedName>
    <definedName name="_Hlt57101788" localSheetId="5">'Distribucion Programas III UTGV'!#REF!</definedName>
    <definedName name="_Hlt57101790" localSheetId="6">'Distrib Programas III Poyectos'!#REF!</definedName>
    <definedName name="_Hlt57101790" localSheetId="3">'Distribucion Programas I'!#REF!</definedName>
    <definedName name="_Hlt57101790" localSheetId="4">'Distribucion Programas II '!#REF!</definedName>
    <definedName name="_Hlt57101790" localSheetId="5">'Distribucion Programas III UTGV'!#REF!</definedName>
    <definedName name="_Hlt57101792" localSheetId="6">'Distrib Programas III Poyectos'!#REF!</definedName>
    <definedName name="_Hlt57101792" localSheetId="3">'Distribucion Programas I'!#REF!</definedName>
    <definedName name="_Hlt57101792" localSheetId="4">'Distribucion Programas II '!#REF!</definedName>
    <definedName name="_Hlt57101792" localSheetId="5">'Distribucion Programas III UTGV'!#REF!</definedName>
    <definedName name="_Hlt57101801" localSheetId="6">'Distrib Programas III Poyectos'!#REF!</definedName>
    <definedName name="_Hlt57101801" localSheetId="3">'Distribucion Programas I'!#REF!</definedName>
    <definedName name="_Hlt57101801" localSheetId="4">'Distribucion Programas II '!#REF!</definedName>
    <definedName name="_Hlt57101801" localSheetId="5">'Distribucion Programas III UTGV'!#REF!</definedName>
    <definedName name="_Hlt57101803" localSheetId="6">'Distrib Programas III Poyectos'!#REF!</definedName>
    <definedName name="_Hlt57101803" localSheetId="3">'Distribucion Programas I'!#REF!</definedName>
    <definedName name="_Hlt57101803" localSheetId="4">'Distribucion Programas II '!#REF!</definedName>
    <definedName name="_Hlt57101803" localSheetId="5">'Distribucion Programas III UTGV'!#REF!</definedName>
    <definedName name="_Hlt57101805" localSheetId="6">'Distrib Programas III Poyectos'!#REF!</definedName>
    <definedName name="_Hlt57101805" localSheetId="3">'Distribucion Programas I'!#REF!</definedName>
    <definedName name="_Hlt57101805" localSheetId="4">'Distribucion Programas II '!#REF!</definedName>
    <definedName name="_Hlt57101805" localSheetId="5">'Distribucion Programas III UTGV'!#REF!</definedName>
    <definedName name="_Hlt57101807" localSheetId="6">'Distrib Programas III Poyectos'!#REF!</definedName>
    <definedName name="_Hlt57101807" localSheetId="3">'Distribucion Programas I'!#REF!</definedName>
    <definedName name="_Hlt57101807" localSheetId="4">'Distribucion Programas II '!#REF!</definedName>
    <definedName name="_Hlt57101807" localSheetId="5">'Distribucion Programas III UTGV'!#REF!</definedName>
    <definedName name="_Hlt57101809" localSheetId="6">'Distrib Programas III Poyectos'!#REF!</definedName>
    <definedName name="_Hlt57101809" localSheetId="3">'Distribucion Programas I'!#REF!</definedName>
    <definedName name="_Hlt57101809" localSheetId="4">'Distribucion Programas II '!#REF!</definedName>
    <definedName name="_Hlt57101809" localSheetId="5">'Distribucion Programas III UTGV'!#REF!</definedName>
    <definedName name="_Hlt57101812" localSheetId="6">'Distrib Programas III Poyectos'!#REF!</definedName>
    <definedName name="_Hlt57101812" localSheetId="3">'Distribucion Programas I'!#REF!</definedName>
    <definedName name="_Hlt57101812" localSheetId="4">'Distribucion Programas II '!#REF!</definedName>
    <definedName name="_Hlt57101812" localSheetId="5">'Distribucion Programas III UTGV'!#REF!</definedName>
    <definedName name="_Hlt57101814" localSheetId="6">'Distrib Programas III Poyectos'!#REF!</definedName>
    <definedName name="_Hlt57101814" localSheetId="3">'Distribucion Programas I'!#REF!</definedName>
    <definedName name="_Hlt57101814" localSheetId="4">'Distribucion Programas II '!#REF!</definedName>
    <definedName name="_Hlt57101814" localSheetId="5">'Distribucion Programas III UTGV'!#REF!</definedName>
    <definedName name="_Hlt57101825" localSheetId="6">'Distrib Programas III Poyectos'!#REF!</definedName>
    <definedName name="_Hlt57101825" localSheetId="3">'Distribucion Programas I'!#REF!</definedName>
    <definedName name="_Hlt57101825" localSheetId="4">'Distribucion Programas II '!#REF!</definedName>
    <definedName name="_Hlt57101825" localSheetId="5">'Distribucion Programas III UTGV'!#REF!</definedName>
    <definedName name="_Hlt57101827" localSheetId="6">'Distrib Programas III Poyectos'!#REF!</definedName>
    <definedName name="_Hlt57101827" localSheetId="3">'Distribucion Programas I'!#REF!</definedName>
    <definedName name="_Hlt57101827" localSheetId="4">'Distribucion Programas II '!#REF!</definedName>
    <definedName name="_Hlt57101827" localSheetId="5">'Distribucion Programas III UTGV'!#REF!</definedName>
    <definedName name="_Hlt57101829" localSheetId="6">'Distrib Programas III Poyectos'!#REF!</definedName>
    <definedName name="_Hlt57101829" localSheetId="3">'Distribucion Programas I'!#REF!</definedName>
    <definedName name="_Hlt57101829" localSheetId="4">'Distribucion Programas II '!#REF!</definedName>
    <definedName name="_Hlt57101829" localSheetId="5">'Distribucion Programas III UTGV'!#REF!</definedName>
    <definedName name="_Hlt57101875" localSheetId="6">'Distrib Programas III Poyectos'!#REF!</definedName>
    <definedName name="_Hlt57101875" localSheetId="3">'Distribucion Programas I'!#REF!</definedName>
    <definedName name="_Hlt57101875" localSheetId="4">'Distribucion Programas II '!#REF!</definedName>
    <definedName name="_Hlt57101875" localSheetId="5">'Distribucion Programas III UTGV'!#REF!</definedName>
    <definedName name="_Hlt57101878" localSheetId="6">'Distrib Programas III Poyectos'!#REF!</definedName>
    <definedName name="_Hlt57101878" localSheetId="3">'Distribucion Programas I'!#REF!</definedName>
    <definedName name="_Hlt57101878" localSheetId="4">'Distribucion Programas II '!#REF!</definedName>
    <definedName name="_Hlt57101878" localSheetId="5">'Distribucion Programas III UTGV'!#REF!</definedName>
    <definedName name="_Hlt57101880" localSheetId="6">'Distrib Programas III Poyectos'!#REF!</definedName>
    <definedName name="_Hlt57101880" localSheetId="3">'Distribucion Programas I'!#REF!</definedName>
    <definedName name="_Hlt57101880" localSheetId="4">'Distribucion Programas II '!#REF!</definedName>
    <definedName name="_Hlt57101880" localSheetId="5">'Distribucion Programas III UTGV'!#REF!</definedName>
    <definedName name="_Hlt57101888" localSheetId="6">'Distrib Programas III Poyectos'!#REF!</definedName>
    <definedName name="_Hlt57101888" localSheetId="3">'Distribucion Programas I'!#REF!</definedName>
    <definedName name="_Hlt57101888" localSheetId="4">'Distribucion Programas II '!#REF!</definedName>
    <definedName name="_Hlt57101888" localSheetId="5">'Distribucion Programas III UTGV'!#REF!</definedName>
    <definedName name="_Hlt57101892" localSheetId="6">'Distrib Programas III Poyectos'!#REF!</definedName>
    <definedName name="_Hlt57101892" localSheetId="3">'Distribucion Programas I'!#REF!</definedName>
    <definedName name="_Hlt57101892" localSheetId="4">'Distribucion Programas II '!#REF!</definedName>
    <definedName name="_Hlt57101892" localSheetId="5">'Distribucion Programas III UTGV'!#REF!</definedName>
    <definedName name="_Hlt57101894" localSheetId="6">'Distrib Programas III Poyectos'!#REF!</definedName>
    <definedName name="_Hlt57101894" localSheetId="3">'Distribucion Programas I'!#REF!</definedName>
    <definedName name="_Hlt57101894" localSheetId="4">'Distribucion Programas II '!#REF!</definedName>
    <definedName name="_Hlt57101894" localSheetId="5">'Distribucion Programas III UTGV'!#REF!</definedName>
    <definedName name="_Hlt57101897" localSheetId="6">'Distrib Programas III Poyectos'!#REF!</definedName>
    <definedName name="_Hlt57101897" localSheetId="3">'Distribucion Programas I'!#REF!</definedName>
    <definedName name="_Hlt57101897" localSheetId="4">'Distribucion Programas II '!#REF!</definedName>
    <definedName name="_Hlt57101897" localSheetId="5">'Distribucion Programas III UTGV'!#REF!</definedName>
    <definedName name="_Hlt57101898" localSheetId="6">'Distrib Programas III Poyectos'!#REF!</definedName>
    <definedName name="_Hlt57101898" localSheetId="3">'Distribucion Programas I'!#REF!</definedName>
    <definedName name="_Hlt57101898" localSheetId="4">'Distribucion Programas II '!#REF!</definedName>
    <definedName name="_Hlt57101898" localSheetId="5">'Distribucion Programas III UTGV'!#REF!</definedName>
    <definedName name="_Hlt57101903" localSheetId="6">'Distrib Programas III Poyectos'!#REF!</definedName>
    <definedName name="_Hlt57101903" localSheetId="3">'Distribucion Programas I'!#REF!</definedName>
    <definedName name="_Hlt57101903" localSheetId="4">'Distribucion Programas II '!#REF!</definedName>
    <definedName name="_Hlt57101903" localSheetId="5">'Distribucion Programas III UTGV'!#REF!</definedName>
    <definedName name="_Hlt57101906" localSheetId="6">'Distrib Programas III Poyectos'!#REF!</definedName>
    <definedName name="_Hlt57101906" localSheetId="3">'Distribucion Programas I'!#REF!</definedName>
    <definedName name="_Hlt57101906" localSheetId="4">'Distribucion Programas II '!#REF!</definedName>
    <definedName name="_Hlt57101906" localSheetId="5">'Distribucion Programas III UTGV'!#REF!</definedName>
    <definedName name="_Hlt57101909" localSheetId="6">'Distrib Programas III Poyectos'!#REF!</definedName>
    <definedName name="_Hlt57101909" localSheetId="3">'Distribucion Programas I'!#REF!</definedName>
    <definedName name="_Hlt57101909" localSheetId="4">'Distribucion Programas II '!#REF!</definedName>
    <definedName name="_Hlt57101909" localSheetId="5">'Distribucion Programas III UTGV'!#REF!</definedName>
    <definedName name="_Hlt57101911" localSheetId="6">'Distrib Programas III Poyectos'!#REF!</definedName>
    <definedName name="_Hlt57101911" localSheetId="3">'Distribucion Programas I'!#REF!</definedName>
    <definedName name="_Hlt57101911" localSheetId="4">'Distribucion Programas II '!#REF!</definedName>
    <definedName name="_Hlt57101911" localSheetId="5">'Distribucion Programas III UTGV'!#REF!</definedName>
    <definedName name="_Hlt57101914" localSheetId="6">'Distrib Programas III Poyectos'!#REF!</definedName>
    <definedName name="_Hlt57101914" localSheetId="3">'Distribucion Programas I'!#REF!</definedName>
    <definedName name="_Hlt57101914" localSheetId="4">'Distribucion Programas II '!#REF!</definedName>
    <definedName name="_Hlt57101914" localSheetId="5">'Distribucion Programas III UTGV'!#REF!</definedName>
    <definedName name="_Hlt57101916" localSheetId="6">'Distrib Programas III Poyectos'!#REF!</definedName>
    <definedName name="_Hlt57101916" localSheetId="3">'Distribucion Programas I'!#REF!</definedName>
    <definedName name="_Hlt57101916" localSheetId="4">'Distribucion Programas II '!#REF!</definedName>
    <definedName name="_Hlt57101916" localSheetId="5">'Distribucion Programas III UTGV'!#REF!</definedName>
    <definedName name="_Hlt57101919" localSheetId="6">'Distrib Programas III Poyectos'!#REF!</definedName>
    <definedName name="_Hlt57101919" localSheetId="3">'Distribucion Programas I'!#REF!</definedName>
    <definedName name="_Hlt57101919" localSheetId="4">'Distribucion Programas II '!#REF!</definedName>
    <definedName name="_Hlt57101919" localSheetId="5">'Distribucion Programas III UTGV'!#REF!</definedName>
    <definedName name="_Hlt57101921" localSheetId="6">'Distrib Programas III Poyectos'!#REF!</definedName>
    <definedName name="_Hlt57101921" localSheetId="3">'Distribucion Programas I'!#REF!</definedName>
    <definedName name="_Hlt57101921" localSheetId="4">'Distribucion Programas II '!#REF!</definedName>
    <definedName name="_Hlt57101921" localSheetId="5">'Distribucion Programas III UTGV'!#REF!</definedName>
    <definedName name="_Hlt57101924" localSheetId="6">'Distrib Programas III Poyectos'!#REF!</definedName>
    <definedName name="_Hlt57101924" localSheetId="3">'Distribucion Programas I'!#REF!</definedName>
    <definedName name="_Hlt57101924" localSheetId="4">'Distribucion Programas II '!#REF!</definedName>
    <definedName name="_Hlt57101924" localSheetId="5">'Distribucion Programas III UTGV'!#REF!</definedName>
    <definedName name="_Hlt57101927" localSheetId="6">'Distrib Programas III Poyectos'!#REF!</definedName>
    <definedName name="_Hlt57101927" localSheetId="3">'Distribucion Programas I'!#REF!</definedName>
    <definedName name="_Hlt57101927" localSheetId="4">'Distribucion Programas II '!#REF!</definedName>
    <definedName name="_Hlt57101927" localSheetId="5">'Distribucion Programas III UTGV'!#REF!</definedName>
    <definedName name="_Hlt57101930" localSheetId="6">'Distrib Programas III Poyectos'!#REF!</definedName>
    <definedName name="_Hlt57101930" localSheetId="3">'Distribucion Programas I'!#REF!</definedName>
    <definedName name="_Hlt57101930" localSheetId="4">'Distribucion Programas II '!#REF!</definedName>
    <definedName name="_Hlt57101930" localSheetId="5">'Distribucion Programas III UTGV'!#REF!</definedName>
    <definedName name="_Hlt57101947" localSheetId="6">'Distrib Programas III Poyectos'!#REF!</definedName>
    <definedName name="_Hlt57101947" localSheetId="3">'Distribucion Programas I'!#REF!</definedName>
    <definedName name="_Hlt57101947" localSheetId="4">'Distribucion Programas II '!#REF!</definedName>
    <definedName name="_Hlt57101947" localSheetId="5">'Distribucion Programas III UTGV'!#REF!</definedName>
    <definedName name="_Hlt57101950" localSheetId="6">'Distrib Programas III Poyectos'!#REF!</definedName>
    <definedName name="_Hlt57101950" localSheetId="3">'Distribucion Programas I'!#REF!</definedName>
    <definedName name="_Hlt57101950" localSheetId="4">'Distribucion Programas II '!#REF!</definedName>
    <definedName name="_Hlt57101950" localSheetId="5">'Distribucion Programas III UTGV'!#REF!</definedName>
    <definedName name="_Hlt57101952" localSheetId="6">'Distrib Programas III Poyectos'!#REF!</definedName>
    <definedName name="_Hlt57101952" localSheetId="3">'Distribucion Programas I'!#REF!</definedName>
    <definedName name="_Hlt57101952" localSheetId="4">'Distribucion Programas II '!#REF!</definedName>
    <definedName name="_Hlt57101952" localSheetId="5">'Distribucion Programas III UTGV'!#REF!</definedName>
    <definedName name="_Hlt57101954" localSheetId="6">'Distrib Programas III Poyectos'!#REF!</definedName>
    <definedName name="_Hlt57101954" localSheetId="3">'Distribucion Programas I'!#REF!</definedName>
    <definedName name="_Hlt57101954" localSheetId="4">'Distribucion Programas II '!#REF!</definedName>
    <definedName name="_Hlt57101954" localSheetId="5">'Distribucion Programas III UTGV'!#REF!</definedName>
    <definedName name="_Hlt57101958" localSheetId="6">'Distrib Programas III Poyectos'!#REF!</definedName>
    <definedName name="_Hlt57101958" localSheetId="3">'Distribucion Programas I'!#REF!</definedName>
    <definedName name="_Hlt57101958" localSheetId="4">'Distribucion Programas II '!#REF!</definedName>
    <definedName name="_Hlt57101958" localSheetId="5">'Distribucion Programas III UTGV'!#REF!</definedName>
    <definedName name="_Hlt57101960" localSheetId="6">'Distrib Programas III Poyectos'!#REF!</definedName>
    <definedName name="_Hlt57101960" localSheetId="3">'Distribucion Programas I'!#REF!</definedName>
    <definedName name="_Hlt57101960" localSheetId="4">'Distribucion Programas II '!#REF!</definedName>
    <definedName name="_Hlt57101960" localSheetId="5">'Distribucion Programas III UTGV'!#REF!</definedName>
    <definedName name="_Hlt57101962" localSheetId="6">'Distrib Programas III Poyectos'!#REF!</definedName>
    <definedName name="_Hlt57101962" localSheetId="3">'Distribucion Programas I'!#REF!</definedName>
    <definedName name="_Hlt57101962" localSheetId="4">'Distribucion Programas II '!#REF!</definedName>
    <definedName name="_Hlt57101962" localSheetId="5">'Distribucion Programas III UTGV'!#REF!</definedName>
    <definedName name="_xlnm.Print_Area" localSheetId="13">'O y A'!$A$1:$I$167</definedName>
    <definedName name="OLE_LINK2" localSheetId="6">'Distrib Programas III Poyectos'!#REF!</definedName>
    <definedName name="OLE_LINK2" localSheetId="3">'Distribucion Programas I'!#REF!</definedName>
    <definedName name="OLE_LINK2" localSheetId="4">'Distribucion Programas II '!#REF!</definedName>
    <definedName name="OLE_LINK2" localSheetId="5">'Distribucion Programas III UTGV'!#REF!</definedName>
  </definedNames>
  <calcPr calcId="181029"/>
</workbook>
</file>

<file path=xl/calcChain.xml><?xml version="1.0" encoding="utf-8"?>
<calcChain xmlns="http://schemas.openxmlformats.org/spreadsheetml/2006/main">
  <c r="G128" i="14" l="1"/>
  <c r="G105" i="14"/>
  <c r="G231" i="14"/>
  <c r="G232" i="14"/>
  <c r="C15" i="14" l="1"/>
  <c r="G15" i="14"/>
  <c r="D7" i="1" l="1"/>
  <c r="C113" i="2" l="1"/>
  <c r="M52" i="4" l="1"/>
  <c r="A52" i="4"/>
  <c r="M53" i="4" s="1"/>
  <c r="A56" i="4" l="1"/>
  <c r="C12" i="5"/>
  <c r="C14" i="5" s="1"/>
  <c r="C18" i="5" s="1"/>
  <c r="C13" i="5"/>
  <c r="B18" i="5"/>
  <c r="B22" i="5"/>
  <c r="A54" i="5"/>
  <c r="B69" i="5"/>
  <c r="B73" i="5"/>
  <c r="A82" i="5"/>
  <c r="A84" i="5"/>
  <c r="N78" i="14"/>
  <c r="C165" i="14"/>
  <c r="E50" i="4"/>
  <c r="G50" i="4" s="1"/>
  <c r="J50" i="4" s="1"/>
  <c r="E49" i="4"/>
  <c r="G49" i="4" s="1"/>
  <c r="J49" i="4" s="1"/>
  <c r="E48" i="4"/>
  <c r="G48" i="4" s="1"/>
  <c r="J48" i="4" s="1"/>
  <c r="J52" i="4" l="1"/>
  <c r="C20" i="5"/>
  <c r="C22" i="5" s="1"/>
  <c r="K29" i="20"/>
  <c r="K30" i="20"/>
  <c r="K39" i="20"/>
  <c r="K40" i="20" s="1"/>
  <c r="K47" i="20"/>
  <c r="M47" i="20"/>
  <c r="K48" i="20"/>
  <c r="E35" i="20"/>
  <c r="G35" i="20" s="1"/>
  <c r="J35" i="20" s="1"/>
  <c r="I50" i="20"/>
  <c r="A39" i="20"/>
  <c r="G34" i="20"/>
  <c r="J34" i="20" s="1"/>
  <c r="J33" i="20"/>
  <c r="G33" i="20"/>
  <c r="A28" i="20"/>
  <c r="A42" i="20" s="1"/>
  <c r="J27" i="20"/>
  <c r="G27" i="20"/>
  <c r="J26" i="20"/>
  <c r="G26" i="20"/>
  <c r="J25" i="20"/>
  <c r="G25" i="20"/>
  <c r="J24" i="20"/>
  <c r="G24" i="20"/>
  <c r="J23" i="20"/>
  <c r="G23" i="20"/>
  <c r="D23" i="20"/>
  <c r="G22" i="20"/>
  <c r="J22" i="20" s="1"/>
  <c r="G21" i="20"/>
  <c r="J21" i="20" s="1"/>
  <c r="G20" i="20"/>
  <c r="J20" i="20" s="1"/>
  <c r="G19" i="20"/>
  <c r="J19" i="20" s="1"/>
  <c r="G18" i="20"/>
  <c r="J18" i="20" s="1"/>
  <c r="G17" i="20"/>
  <c r="J17" i="20" s="1"/>
  <c r="G16" i="20"/>
  <c r="J16" i="20" s="1"/>
  <c r="G15" i="20"/>
  <c r="J15" i="20" s="1"/>
  <c r="J29" i="20" s="1"/>
  <c r="K32" i="20" l="1"/>
  <c r="K42" i="20"/>
  <c r="M48" i="20"/>
  <c r="N48" i="20" s="1"/>
  <c r="N47" i="20"/>
  <c r="C63" i="5"/>
  <c r="C69" i="5" s="1"/>
  <c r="C73" i="5" s="1"/>
  <c r="C76" i="5" s="1"/>
  <c r="C24" i="5"/>
  <c r="C25" i="5" s="1"/>
  <c r="J39" i="20"/>
  <c r="N164" i="14" l="1"/>
  <c r="J137" i="14"/>
  <c r="D65" i="14"/>
  <c r="C155" i="28"/>
  <c r="I155" i="28" s="1"/>
  <c r="E153" i="27"/>
  <c r="E161" i="27"/>
  <c r="F150" i="27"/>
  <c r="F149" i="27"/>
  <c r="E149" i="27"/>
  <c r="E150" i="27"/>
  <c r="E41" i="27"/>
  <c r="E112" i="27"/>
  <c r="E108" i="27"/>
  <c r="E105" i="27"/>
  <c r="E103" i="27"/>
  <c r="E19" i="26"/>
  <c r="E17" i="26"/>
  <c r="E14" i="26"/>
  <c r="C151" i="15"/>
  <c r="N70" i="14"/>
  <c r="F29" i="14"/>
  <c r="E29" i="14"/>
  <c r="X48" i="23"/>
  <c r="X47" i="23"/>
  <c r="X46" i="23"/>
  <c r="X45" i="23"/>
  <c r="X44" i="23"/>
  <c r="X43" i="23"/>
  <c r="X42" i="23"/>
  <c r="X41" i="23"/>
  <c r="X40" i="23"/>
  <c r="X39" i="23"/>
  <c r="X38" i="23"/>
  <c r="X37" i="23"/>
  <c r="X36" i="23"/>
  <c r="X35" i="23"/>
  <c r="X34" i="23"/>
  <c r="X33" i="23"/>
  <c r="X32" i="23"/>
  <c r="X31" i="23"/>
  <c r="X30" i="23"/>
  <c r="X29" i="23"/>
  <c r="X28" i="23"/>
  <c r="X27" i="23"/>
  <c r="X26" i="23"/>
  <c r="X25" i="23"/>
  <c r="X24" i="23"/>
  <c r="X23" i="23"/>
  <c r="X22" i="23"/>
  <c r="X21" i="23"/>
  <c r="X20" i="23"/>
  <c r="X19" i="23"/>
  <c r="X18" i="23"/>
  <c r="X17" i="23"/>
  <c r="X16" i="23"/>
  <c r="X15" i="23"/>
  <c r="X14" i="23"/>
  <c r="X13" i="23"/>
  <c r="X12" i="23"/>
  <c r="X11" i="23"/>
  <c r="T48" i="23"/>
  <c r="T47" i="23"/>
  <c r="T46" i="23"/>
  <c r="T45" i="23"/>
  <c r="T44" i="23"/>
  <c r="T43" i="23"/>
  <c r="T42" i="23"/>
  <c r="T41" i="23"/>
  <c r="T40" i="23"/>
  <c r="T39" i="23"/>
  <c r="T38" i="23"/>
  <c r="T37" i="23"/>
  <c r="T36" i="23"/>
  <c r="T35" i="23"/>
  <c r="T34" i="23"/>
  <c r="T33" i="23"/>
  <c r="T32" i="23"/>
  <c r="T31" i="23"/>
  <c r="T30" i="23"/>
  <c r="T29" i="23"/>
  <c r="T28" i="23"/>
  <c r="T27" i="23"/>
  <c r="T26" i="23"/>
  <c r="T25" i="23"/>
  <c r="T24" i="23"/>
  <c r="T23" i="23"/>
  <c r="T22" i="23"/>
  <c r="T21" i="23"/>
  <c r="T20" i="23"/>
  <c r="T19" i="23"/>
  <c r="T18" i="23"/>
  <c r="T17" i="23"/>
  <c r="T16" i="23"/>
  <c r="T15" i="23"/>
  <c r="T14" i="23"/>
  <c r="T13" i="23"/>
  <c r="T12" i="23"/>
  <c r="T11" i="23"/>
  <c r="R48" i="23"/>
  <c r="R47" i="23"/>
  <c r="R46" i="23"/>
  <c r="R45" i="23"/>
  <c r="R44" i="23"/>
  <c r="R43" i="23"/>
  <c r="R42" i="23"/>
  <c r="R41" i="23"/>
  <c r="R40" i="23"/>
  <c r="R39" i="23"/>
  <c r="R38" i="23"/>
  <c r="R37" i="23"/>
  <c r="R36" i="23"/>
  <c r="R35" i="23"/>
  <c r="R34" i="23"/>
  <c r="R33" i="23"/>
  <c r="R32" i="23"/>
  <c r="R31" i="23"/>
  <c r="R30" i="23"/>
  <c r="R29" i="23"/>
  <c r="R28" i="23"/>
  <c r="R27" i="23"/>
  <c r="R26" i="23"/>
  <c r="R25" i="23"/>
  <c r="R24" i="23"/>
  <c r="R23" i="23"/>
  <c r="R22" i="23"/>
  <c r="R21" i="23"/>
  <c r="R20" i="23"/>
  <c r="R19" i="23"/>
  <c r="R18" i="23"/>
  <c r="R17" i="23"/>
  <c r="R16" i="23"/>
  <c r="R15" i="23"/>
  <c r="R14" i="23"/>
  <c r="R13" i="23"/>
  <c r="R12" i="23"/>
  <c r="R11" i="23"/>
  <c r="O68" i="14" l="1"/>
  <c r="F34" i="14"/>
  <c r="E34" i="14"/>
  <c r="F38" i="14" l="1"/>
  <c r="E38" i="14"/>
  <c r="N97" i="14" l="1"/>
  <c r="C22" i="13" l="1"/>
  <c r="I86" i="14" l="1"/>
  <c r="E25" i="7"/>
  <c r="E16" i="2"/>
  <c r="C344" i="15" l="1"/>
  <c r="C340" i="15"/>
  <c r="C330" i="15"/>
  <c r="C324" i="15"/>
  <c r="C323" i="15" s="1"/>
  <c r="C319" i="15"/>
  <c r="C316" i="15"/>
  <c r="C310" i="15"/>
  <c r="C307" i="15"/>
  <c r="C298" i="15"/>
  <c r="C297" i="15" s="1"/>
  <c r="C293" i="15"/>
  <c r="C289" i="15"/>
  <c r="C286" i="15"/>
  <c r="C280" i="15"/>
  <c r="C272" i="15"/>
  <c r="C266" i="15"/>
  <c r="C255" i="15"/>
  <c r="C254" i="15" s="1"/>
  <c r="C248" i="15"/>
  <c r="C222" i="15" s="1"/>
  <c r="C243" i="15"/>
  <c r="C233" i="15"/>
  <c r="C223" i="15"/>
  <c r="C218" i="15"/>
  <c r="C208" i="15"/>
  <c r="C198" i="15"/>
  <c r="C197" i="15"/>
  <c r="C190" i="15"/>
  <c r="C186" i="15"/>
  <c r="C176" i="15"/>
  <c r="C170" i="15"/>
  <c r="C169" i="15" s="1"/>
  <c r="C159" i="15"/>
  <c r="C153" i="15"/>
  <c r="C149" i="15"/>
  <c r="C140" i="15"/>
  <c r="C133" i="15"/>
  <c r="C126" i="15"/>
  <c r="C117" i="15"/>
  <c r="C111" i="15"/>
  <c r="C100" i="15"/>
  <c r="C95" i="15"/>
  <c r="C84" i="15"/>
  <c r="C75" i="15"/>
  <c r="C66" i="15"/>
  <c r="C59" i="15"/>
  <c r="C52" i="15"/>
  <c r="C47" i="15"/>
  <c r="C27" i="15"/>
  <c r="O48" i="20" s="1"/>
  <c r="C26" i="15"/>
  <c r="O47" i="20" s="1"/>
  <c r="C18" i="15"/>
  <c r="C16" i="15"/>
  <c r="C14" i="15"/>
  <c r="K43" i="20" s="1"/>
  <c r="C12" i="15"/>
  <c r="K33" i="20" s="1"/>
  <c r="C125" i="15" l="1"/>
  <c r="C11" i="15"/>
  <c r="C29" i="15"/>
  <c r="I49" i="20" s="1"/>
  <c r="C42" i="15" l="1"/>
  <c r="C41" i="15"/>
  <c r="C43" i="15"/>
  <c r="C37" i="15"/>
  <c r="C28" i="15"/>
  <c r="C25" i="15" s="1"/>
  <c r="C33" i="15"/>
  <c r="C91" i="15"/>
  <c r="C90" i="15" s="1"/>
  <c r="C51" i="15" s="1"/>
  <c r="C32" i="15" l="1"/>
  <c r="C39" i="15"/>
  <c r="C10" i="15" s="1"/>
  <c r="C9" i="15" s="1"/>
  <c r="Z11" i="23" l="1"/>
  <c r="G345" i="14"/>
  <c r="G341" i="14" s="1"/>
  <c r="G331" i="14"/>
  <c r="G325" i="14"/>
  <c r="G324" i="14" s="1"/>
  <c r="G320" i="14"/>
  <c r="G317" i="14"/>
  <c r="G311" i="14"/>
  <c r="G308" i="14"/>
  <c r="G298" i="14" s="1"/>
  <c r="G299" i="14"/>
  <c r="G294" i="14"/>
  <c r="G290" i="14"/>
  <c r="G287" i="14"/>
  <c r="G281" i="14"/>
  <c r="G273" i="14"/>
  <c r="G267" i="14"/>
  <c r="G255" i="14" s="1"/>
  <c r="G256" i="14"/>
  <c r="G249" i="14"/>
  <c r="G244" i="14"/>
  <c r="G234" i="14"/>
  <c r="G224" i="14"/>
  <c r="G223" i="14" s="1"/>
  <c r="G219" i="14"/>
  <c r="G209" i="14"/>
  <c r="G199" i="14"/>
  <c r="G198" i="14"/>
  <c r="G191" i="14"/>
  <c r="G187" i="14"/>
  <c r="G177" i="14"/>
  <c r="G171" i="14"/>
  <c r="G170" i="14" s="1"/>
  <c r="G160" i="14"/>
  <c r="G154" i="14"/>
  <c r="G150" i="14"/>
  <c r="G141" i="14"/>
  <c r="G134" i="14"/>
  <c r="G127" i="14"/>
  <c r="G118" i="14"/>
  <c r="G112" i="14"/>
  <c r="G101" i="14"/>
  <c r="G96" i="14"/>
  <c r="G85" i="14"/>
  <c r="G76" i="14"/>
  <c r="G67" i="14"/>
  <c r="G60" i="14"/>
  <c r="G53" i="14"/>
  <c r="G19" i="14"/>
  <c r="G17" i="14"/>
  <c r="D345" i="14"/>
  <c r="D341" i="14" s="1"/>
  <c r="D337" i="14"/>
  <c r="D331" i="14" s="1"/>
  <c r="D325" i="14"/>
  <c r="D320" i="14"/>
  <c r="D317" i="14"/>
  <c r="D311" i="14"/>
  <c r="D308" i="14"/>
  <c r="D299" i="14"/>
  <c r="D298" i="14"/>
  <c r="D294" i="14"/>
  <c r="D290" i="14"/>
  <c r="D287" i="14"/>
  <c r="D281" i="14"/>
  <c r="D273" i="14"/>
  <c r="D267" i="14"/>
  <c r="D256" i="14"/>
  <c r="D255" i="14"/>
  <c r="D249" i="14"/>
  <c r="D244" i="14"/>
  <c r="D234" i="14"/>
  <c r="D224" i="14"/>
  <c r="D223" i="14" s="1"/>
  <c r="D219" i="14"/>
  <c r="D209" i="14"/>
  <c r="D199" i="14"/>
  <c r="D198" i="14" s="1"/>
  <c r="D191" i="14"/>
  <c r="D187" i="14"/>
  <c r="D183" i="14"/>
  <c r="D177" i="14" s="1"/>
  <c r="D171" i="14"/>
  <c r="D160" i="14"/>
  <c r="D154" i="14"/>
  <c r="D150" i="14"/>
  <c r="D141" i="14"/>
  <c r="D134" i="14"/>
  <c r="D127" i="14"/>
  <c r="D126" i="14" s="1"/>
  <c r="D118" i="14"/>
  <c r="D112" i="14"/>
  <c r="D101" i="14"/>
  <c r="D96" i="14"/>
  <c r="D85" i="14"/>
  <c r="D76" i="14"/>
  <c r="D67" i="14"/>
  <c r="D60" i="14"/>
  <c r="D53" i="14"/>
  <c r="D48" i="14"/>
  <c r="D28" i="14"/>
  <c r="D27" i="14"/>
  <c r="D20" i="14"/>
  <c r="D19" i="14" s="1"/>
  <c r="D17" i="14"/>
  <c r="D13" i="14"/>
  <c r="G126" i="14" l="1"/>
  <c r="D12" i="14"/>
  <c r="G30" i="14"/>
  <c r="G92" i="14" s="1"/>
  <c r="G91" i="14" s="1"/>
  <c r="G52" i="14" s="1"/>
  <c r="D324" i="14"/>
  <c r="G12" i="14"/>
  <c r="D170" i="14"/>
  <c r="D30" i="14"/>
  <c r="D44" i="14" s="1"/>
  <c r="G42" i="14" l="1"/>
  <c r="G29" i="14"/>
  <c r="G26" i="14" s="1"/>
  <c r="D29" i="14"/>
  <c r="D26" i="14" s="1"/>
  <c r="G34" i="14"/>
  <c r="G38" i="14"/>
  <c r="D34" i="14"/>
  <c r="D38" i="14"/>
  <c r="G44" i="14"/>
  <c r="G43" i="14"/>
  <c r="D43" i="14"/>
  <c r="D92" i="14"/>
  <c r="D91" i="14" s="1"/>
  <c r="D52" i="14" s="1"/>
  <c r="D42" i="14"/>
  <c r="G33" i="14" l="1"/>
  <c r="G40" i="14"/>
  <c r="D40" i="14"/>
  <c r="D33" i="14"/>
  <c r="G11" i="14" l="1"/>
  <c r="G10" i="14" s="1"/>
  <c r="D11" i="14"/>
  <c r="D10" i="14" s="1"/>
  <c r="C81" i="1"/>
  <c r="L15" i="14"/>
  <c r="J17" i="14"/>
  <c r="J15" i="14"/>
  <c r="O27" i="14" l="1"/>
  <c r="N28" i="14"/>
  <c r="N27" i="14"/>
  <c r="M28" i="14"/>
  <c r="M27" i="14"/>
  <c r="D26" i="13"/>
  <c r="C26" i="13"/>
  <c r="D25" i="13"/>
  <c r="C25" i="13"/>
  <c r="N15" i="14"/>
  <c r="M15" i="14"/>
  <c r="C17" i="14"/>
  <c r="O17" i="14"/>
  <c r="N17" i="14"/>
  <c r="M17" i="14"/>
  <c r="L17" i="14"/>
  <c r="H17" i="14"/>
  <c r="D15" i="13"/>
  <c r="C15" i="13"/>
  <c r="O13" i="14"/>
  <c r="N13" i="14"/>
  <c r="M13" i="14"/>
  <c r="H13" i="14"/>
  <c r="D11" i="13"/>
  <c r="C11" i="13"/>
  <c r="C182" i="13" l="1"/>
  <c r="C336" i="13"/>
  <c r="E14" i="6"/>
  <c r="D14" i="6"/>
  <c r="C14" i="6"/>
  <c r="H13" i="6"/>
  <c r="H12" i="6"/>
  <c r="D12" i="6"/>
  <c r="C12" i="6"/>
  <c r="C11" i="6"/>
  <c r="D11" i="6"/>
  <c r="J8" i="6"/>
  <c r="J7" i="6"/>
  <c r="D16" i="6" l="1"/>
  <c r="C16" i="6"/>
  <c r="C18" i="6" s="1"/>
  <c r="C71" i="2" l="1"/>
  <c r="C72" i="2"/>
  <c r="F92" i="14"/>
  <c r="E92" i="14"/>
  <c r="F43" i="14" l="1"/>
  <c r="E43" i="14"/>
  <c r="F44" i="14"/>
  <c r="E44" i="14"/>
  <c r="F42" i="14"/>
  <c r="E42" i="14"/>
  <c r="O30" i="14"/>
  <c r="O29" i="14" s="1"/>
  <c r="N30" i="14"/>
  <c r="M30" i="14"/>
  <c r="M29" i="14" s="1"/>
  <c r="L30" i="14"/>
  <c r="J30" i="14"/>
  <c r="I35" i="31" s="1"/>
  <c r="I30" i="14"/>
  <c r="I92" i="14" l="1"/>
  <c r="I29" i="14"/>
  <c r="I34" i="14"/>
  <c r="I38" i="14"/>
  <c r="L92" i="14"/>
  <c r="L29" i="14"/>
  <c r="J44" i="14"/>
  <c r="J29" i="14"/>
  <c r="N92" i="14"/>
  <c r="N29" i="14"/>
  <c r="O42" i="14"/>
  <c r="O44" i="14"/>
  <c r="O43" i="14"/>
  <c r="I42" i="14"/>
  <c r="I44" i="14"/>
  <c r="I43" i="14"/>
  <c r="M43" i="14"/>
  <c r="M92" i="14"/>
  <c r="J92" i="14"/>
  <c r="J43" i="14"/>
  <c r="M44" i="14"/>
  <c r="O92" i="14"/>
  <c r="N43" i="14"/>
  <c r="N42" i="14"/>
  <c r="N44" i="14"/>
  <c r="L42" i="14"/>
  <c r="L44" i="14"/>
  <c r="L43" i="14"/>
  <c r="M42" i="14"/>
  <c r="J42" i="14"/>
  <c r="D28" i="13" l="1"/>
  <c r="D27" i="13" s="1"/>
  <c r="C28" i="13"/>
  <c r="C27" i="13" s="1"/>
  <c r="D91" i="13" l="1"/>
  <c r="C91" i="13"/>
  <c r="D41" i="13"/>
  <c r="D37" i="13"/>
  <c r="D43" i="13"/>
  <c r="D33" i="13"/>
  <c r="C41" i="13"/>
  <c r="C43" i="13"/>
  <c r="C42" i="13"/>
  <c r="C37" i="13"/>
  <c r="D42" i="13"/>
  <c r="C33" i="13"/>
  <c r="C40" i="13" l="1"/>
  <c r="F42" i="13"/>
  <c r="C97" i="2"/>
  <c r="C90" i="2"/>
  <c r="C87" i="2"/>
  <c r="C74" i="1" s="1"/>
  <c r="C73" i="1" s="1"/>
  <c r="C85" i="2"/>
  <c r="C81" i="2"/>
  <c r="C78" i="2"/>
  <c r="F72" i="2"/>
  <c r="F71" i="2"/>
  <c r="C70" i="2"/>
  <c r="C69" i="2"/>
  <c r="C67" i="2"/>
  <c r="C51" i="2"/>
  <c r="C46" i="2"/>
  <c r="C40" i="2"/>
  <c r="F40" i="2" s="1"/>
  <c r="C36" i="2"/>
  <c r="C35" i="2"/>
  <c r="C33" i="2"/>
  <c r="C30" i="2"/>
  <c r="C29" i="2"/>
  <c r="C24" i="2"/>
  <c r="C14" i="2"/>
  <c r="C12" i="2"/>
  <c r="C68" i="2" l="1"/>
  <c r="C91" i="2" l="1"/>
  <c r="N74" i="14" l="1"/>
  <c r="E160" i="27" l="1"/>
  <c r="E95" i="27"/>
  <c r="F95" i="27" s="1"/>
  <c r="O10" i="23" l="1"/>
  <c r="R10" i="23"/>
  <c r="Y48" i="23"/>
  <c r="I138" i="28" s="1"/>
  <c r="Y47" i="23"/>
  <c r="I137" i="28" s="1"/>
  <c r="Y46" i="23"/>
  <c r="I136" i="28" s="1"/>
  <c r="Y45" i="23"/>
  <c r="I135" i="28" s="1"/>
  <c r="Y44" i="23"/>
  <c r="I134" i="28" s="1"/>
  <c r="Y43" i="23"/>
  <c r="I133" i="28" s="1"/>
  <c r="Y42" i="23"/>
  <c r="I132" i="28" s="1"/>
  <c r="Y41" i="23"/>
  <c r="I131" i="28" s="1"/>
  <c r="Y40" i="23"/>
  <c r="I130" i="28" s="1"/>
  <c r="Y39" i="23"/>
  <c r="I129" i="28" s="1"/>
  <c r="Y38" i="23"/>
  <c r="I128" i="28" s="1"/>
  <c r="Y37" i="23"/>
  <c r="I127" i="28" s="1"/>
  <c r="Y36" i="23"/>
  <c r="I126" i="28" s="1"/>
  <c r="Y35" i="23"/>
  <c r="I125" i="28" s="1"/>
  <c r="Y34" i="23"/>
  <c r="I124" i="28" s="1"/>
  <c r="Y33" i="23"/>
  <c r="I123" i="28" s="1"/>
  <c r="Y32" i="23"/>
  <c r="I122" i="28" s="1"/>
  <c r="Y31" i="23"/>
  <c r="I121" i="28" s="1"/>
  <c r="Y30" i="23"/>
  <c r="I120" i="28" s="1"/>
  <c r="Y29" i="23"/>
  <c r="I119" i="28" s="1"/>
  <c r="Y28" i="23"/>
  <c r="I118" i="28" s="1"/>
  <c r="Y27" i="23"/>
  <c r="I117" i="28" s="1"/>
  <c r="Y26" i="23"/>
  <c r="I116" i="28" s="1"/>
  <c r="Y25" i="23"/>
  <c r="I115" i="28" s="1"/>
  <c r="Y24" i="23"/>
  <c r="I114" i="28" s="1"/>
  <c r="Y23" i="23"/>
  <c r="I113" i="28" s="1"/>
  <c r="Y22" i="23"/>
  <c r="I112" i="28" s="1"/>
  <c r="Y21" i="23"/>
  <c r="I111" i="28" s="1"/>
  <c r="Y20" i="23"/>
  <c r="I110" i="28" s="1"/>
  <c r="Y19" i="23"/>
  <c r="I109" i="28" s="1"/>
  <c r="Y18" i="23"/>
  <c r="I108" i="28" s="1"/>
  <c r="Y16" i="23"/>
  <c r="I106" i="28" s="1"/>
  <c r="Y15" i="23"/>
  <c r="I105" i="28" s="1"/>
  <c r="Y14" i="23"/>
  <c r="I104" i="28" s="1"/>
  <c r="Y13" i="23"/>
  <c r="I103" i="28" s="1"/>
  <c r="Y12" i="23"/>
  <c r="I102" i="28" s="1"/>
  <c r="Y11" i="23"/>
  <c r="I101" i="28" s="1"/>
  <c r="N10" i="23"/>
  <c r="E18" i="27" s="1"/>
  <c r="E93" i="27" l="1"/>
  <c r="Y17" i="23"/>
  <c r="I107" i="28" s="1"/>
  <c r="C152" i="28" l="1"/>
  <c r="D223" i="13" l="1"/>
  <c r="E12" i="6" l="1"/>
  <c r="C104" i="2" l="1"/>
  <c r="C38" i="28" l="1"/>
  <c r="G15" i="7"/>
  <c r="E15" i="7"/>
  <c r="J15" i="7" l="1"/>
  <c r="H15" i="7"/>
  <c r="J16" i="7" l="1"/>
  <c r="E16" i="7" s="1"/>
  <c r="J17" i="7"/>
  <c r="H17" i="7" l="1"/>
  <c r="H18" i="7" s="1"/>
  <c r="J18" i="7"/>
  <c r="I38" i="28"/>
  <c r="I39" i="28" s="1"/>
  <c r="J14" i="7"/>
  <c r="K14" i="7" s="1"/>
  <c r="M136" i="14"/>
  <c r="J19" i="7" l="1"/>
  <c r="J20" i="7" s="1"/>
  <c r="J21" i="7" l="1"/>
  <c r="J22" i="7" s="1"/>
  <c r="K10" i="1"/>
  <c r="B63" i="28" l="1"/>
  <c r="A63" i="28"/>
  <c r="A58" i="28"/>
  <c r="B58" i="28"/>
  <c r="B88" i="28"/>
  <c r="C159" i="28" l="1"/>
  <c r="C299" i="14" l="1"/>
  <c r="C294" i="14"/>
  <c r="C290" i="14"/>
  <c r="C287" i="14"/>
  <c r="C281" i="14"/>
  <c r="C273" i="14"/>
  <c r="C267" i="14"/>
  <c r="C256" i="14"/>
  <c r="C249" i="14"/>
  <c r="C244" i="14"/>
  <c r="C234" i="14"/>
  <c r="C224" i="14"/>
  <c r="C219" i="14"/>
  <c r="C209" i="14"/>
  <c r="C199" i="14"/>
  <c r="C191" i="14"/>
  <c r="C187" i="14"/>
  <c r="C170" i="14" s="1"/>
  <c r="C177" i="14"/>
  <c r="C171" i="14"/>
  <c r="C160" i="14"/>
  <c r="C154" i="14"/>
  <c r="C150" i="14"/>
  <c r="C141" i="14"/>
  <c r="C134" i="14"/>
  <c r="C127" i="14"/>
  <c r="C118" i="14"/>
  <c r="C112" i="14"/>
  <c r="C101" i="14"/>
  <c r="C96" i="14"/>
  <c r="C85" i="14"/>
  <c r="C76" i="14"/>
  <c r="C67" i="14"/>
  <c r="C60" i="14"/>
  <c r="C53" i="14"/>
  <c r="C48" i="14"/>
  <c r="C19" i="14"/>
  <c r="C223" i="14" l="1"/>
  <c r="C255" i="14"/>
  <c r="C198" i="14"/>
  <c r="C126" i="14"/>
  <c r="G95" i="2"/>
  <c r="F105" i="2"/>
  <c r="F65" i="2"/>
  <c r="F35" i="2"/>
  <c r="F29" i="2"/>
  <c r="F23" i="2"/>
  <c r="F16" i="2"/>
  <c r="E34" i="2"/>
  <c r="E24" i="2"/>
  <c r="E30" i="2"/>
  <c r="E48" i="2"/>
  <c r="F10" i="23" l="1"/>
  <c r="P55" i="23"/>
  <c r="H10" i="23"/>
  <c r="I10" i="23"/>
  <c r="J10" i="23"/>
  <c r="K10" i="23"/>
  <c r="L10" i="23"/>
  <c r="M10" i="23"/>
  <c r="Q10" i="23"/>
  <c r="W10" i="23"/>
  <c r="V10" i="23"/>
  <c r="U10" i="23"/>
  <c r="S10" i="23"/>
  <c r="P10" i="23" l="1"/>
  <c r="E64" i="27" s="1"/>
  <c r="Y55" i="23"/>
  <c r="E12" i="27"/>
  <c r="D43" i="15"/>
  <c r="D44" i="15" s="1"/>
  <c r="F30" i="14" l="1"/>
  <c r="E30" i="14"/>
  <c r="J345" i="14"/>
  <c r="J341" i="14" s="1"/>
  <c r="J331" i="14"/>
  <c r="J325" i="14"/>
  <c r="J324" i="14" s="1"/>
  <c r="J320" i="14"/>
  <c r="J317" i="14"/>
  <c r="J311" i="14"/>
  <c r="J308" i="14"/>
  <c r="J299" i="14"/>
  <c r="J294" i="14"/>
  <c r="J290" i="14"/>
  <c r="J287" i="14"/>
  <c r="J281" i="14"/>
  <c r="J273" i="14"/>
  <c r="J267" i="14"/>
  <c r="J256" i="14"/>
  <c r="J249" i="14"/>
  <c r="J244" i="14"/>
  <c r="J234" i="14"/>
  <c r="J224" i="14"/>
  <c r="J219" i="14"/>
  <c r="J209" i="14"/>
  <c r="J199" i="14"/>
  <c r="J191" i="14"/>
  <c r="J187" i="14"/>
  <c r="J177" i="14"/>
  <c r="J171" i="14"/>
  <c r="J160" i="14"/>
  <c r="J154" i="14"/>
  <c r="J150" i="14"/>
  <c r="J141" i="14"/>
  <c r="J134" i="14"/>
  <c r="J127" i="14"/>
  <c r="J118" i="14"/>
  <c r="J112" i="14"/>
  <c r="J101" i="14"/>
  <c r="J96" i="14"/>
  <c r="J85" i="14"/>
  <c r="J76" i="14"/>
  <c r="J67" i="14"/>
  <c r="J60" i="14"/>
  <c r="J53" i="14"/>
  <c r="J48" i="14"/>
  <c r="J19" i="14"/>
  <c r="J223" i="14" l="1"/>
  <c r="J198" i="14"/>
  <c r="J170" i="14"/>
  <c r="J298" i="14"/>
  <c r="J255" i="14"/>
  <c r="J12" i="14"/>
  <c r="J126" i="14"/>
  <c r="J91" i="14"/>
  <c r="J52" i="14" s="1"/>
  <c r="J34" i="14" l="1"/>
  <c r="J38" i="14"/>
  <c r="J26" i="14"/>
  <c r="J33" i="14" l="1"/>
  <c r="J40" i="14"/>
  <c r="J11" i="14" l="1"/>
  <c r="J10" i="14" s="1"/>
  <c r="J7" i="14" s="1"/>
  <c r="E128" i="14"/>
  <c r="Q128" i="14" s="1"/>
  <c r="Q347" i="14"/>
  <c r="Q346" i="14"/>
  <c r="Q344" i="14"/>
  <c r="Q343" i="14"/>
  <c r="Q342" i="14"/>
  <c r="Q340" i="14"/>
  <c r="Q339" i="14"/>
  <c r="Q338" i="14"/>
  <c r="Q337" i="14"/>
  <c r="Q336" i="14"/>
  <c r="Q335" i="14"/>
  <c r="Q334" i="14"/>
  <c r="Q333" i="14"/>
  <c r="Q332" i="14"/>
  <c r="Q330" i="14"/>
  <c r="Q329" i="14"/>
  <c r="Q328" i="14"/>
  <c r="Q327" i="14"/>
  <c r="Q326" i="14"/>
  <c r="Q323" i="14"/>
  <c r="Q322" i="14"/>
  <c r="Q321" i="14"/>
  <c r="Q319" i="14"/>
  <c r="Q318" i="14"/>
  <c r="Q316" i="14"/>
  <c r="Q315" i="14"/>
  <c r="Q314" i="14"/>
  <c r="Q313" i="14"/>
  <c r="Q312" i="14"/>
  <c r="Q310" i="14"/>
  <c r="Q309" i="14"/>
  <c r="Q307" i="14"/>
  <c r="Q306" i="14"/>
  <c r="Q305" i="14"/>
  <c r="Q304" i="14"/>
  <c r="Q303" i="14"/>
  <c r="Q302" i="14"/>
  <c r="Q301" i="14"/>
  <c r="Q300" i="14"/>
  <c r="Q297" i="14"/>
  <c r="Q296" i="14"/>
  <c r="Q295" i="14"/>
  <c r="Q293" i="14"/>
  <c r="Q292" i="14"/>
  <c r="Q291" i="14"/>
  <c r="Q289" i="14"/>
  <c r="Q288" i="14"/>
  <c r="Q286" i="14"/>
  <c r="Q285" i="14"/>
  <c r="Q284" i="14"/>
  <c r="Q283" i="14"/>
  <c r="Q282" i="14"/>
  <c r="Q280" i="14"/>
  <c r="Q279" i="14"/>
  <c r="Q278" i="14"/>
  <c r="Q277" i="14"/>
  <c r="Q276" i="14"/>
  <c r="Q275" i="14"/>
  <c r="Q272" i="14"/>
  <c r="Q271" i="14"/>
  <c r="Q270" i="14"/>
  <c r="Q269" i="14"/>
  <c r="Q268" i="14"/>
  <c r="Q266" i="14"/>
  <c r="Q265" i="14"/>
  <c r="Q264" i="14"/>
  <c r="Q263" i="14"/>
  <c r="Q262" i="14"/>
  <c r="Q261" i="14"/>
  <c r="Q260" i="14"/>
  <c r="Q259" i="14"/>
  <c r="Q258" i="14"/>
  <c r="Q257" i="14"/>
  <c r="Q254" i="14"/>
  <c r="Q253" i="14"/>
  <c r="Q252" i="14"/>
  <c r="Q251" i="14"/>
  <c r="Q250" i="14"/>
  <c r="Q248" i="14"/>
  <c r="Q247" i="14"/>
  <c r="Q246" i="14"/>
  <c r="Q245" i="14"/>
  <c r="Q243" i="14"/>
  <c r="Q242" i="14"/>
  <c r="Q241" i="14"/>
  <c r="Q240" i="14"/>
  <c r="Q239" i="14"/>
  <c r="Q238" i="14"/>
  <c r="Q237" i="14"/>
  <c r="Q236" i="14"/>
  <c r="Q235" i="14"/>
  <c r="Q233" i="14"/>
  <c r="Q232" i="14"/>
  <c r="Q231" i="14"/>
  <c r="Q230" i="14"/>
  <c r="Q229" i="14"/>
  <c r="Q228" i="14"/>
  <c r="Q227" i="14"/>
  <c r="Q226" i="14"/>
  <c r="Q225" i="14"/>
  <c r="Q222" i="14"/>
  <c r="Q221" i="14"/>
  <c r="Q220" i="14"/>
  <c r="Q218" i="14"/>
  <c r="Q217" i="14"/>
  <c r="Q216" i="14"/>
  <c r="Q215" i="14"/>
  <c r="Q214" i="14"/>
  <c r="Q213" i="14"/>
  <c r="Q212" i="14"/>
  <c r="Q211" i="14"/>
  <c r="Q210" i="14"/>
  <c r="Q208" i="14"/>
  <c r="Q207" i="14"/>
  <c r="Q206" i="14"/>
  <c r="Q205" i="14"/>
  <c r="Q204" i="14"/>
  <c r="Q203" i="14"/>
  <c r="Q202" i="14"/>
  <c r="Q201" i="14"/>
  <c r="Q200" i="14"/>
  <c r="Q197" i="14"/>
  <c r="Q196" i="14"/>
  <c r="Q195" i="14"/>
  <c r="Q194" i="14"/>
  <c r="Q193" i="14"/>
  <c r="Q192" i="14"/>
  <c r="Q190" i="14"/>
  <c r="Q189" i="14"/>
  <c r="Q188" i="14"/>
  <c r="Q186" i="14"/>
  <c r="Q185" i="14"/>
  <c r="Q184" i="14"/>
  <c r="Q183" i="14"/>
  <c r="Q182" i="14"/>
  <c r="Q181" i="14"/>
  <c r="Q180" i="14"/>
  <c r="Q179" i="14"/>
  <c r="Q178" i="14"/>
  <c r="Q176" i="14"/>
  <c r="Q175" i="14"/>
  <c r="Q174" i="14"/>
  <c r="Q173" i="14"/>
  <c r="Q172" i="14"/>
  <c r="Q169" i="14"/>
  <c r="Q168" i="14"/>
  <c r="Q167" i="14"/>
  <c r="Q166" i="14"/>
  <c r="Q165" i="14"/>
  <c r="Q164" i="14"/>
  <c r="Q163" i="14"/>
  <c r="Q162" i="14"/>
  <c r="Q161" i="14"/>
  <c r="Q159" i="14"/>
  <c r="Q158" i="14"/>
  <c r="Q157" i="14"/>
  <c r="Q156" i="14"/>
  <c r="Q155" i="14"/>
  <c r="Q153" i="14"/>
  <c r="Q152" i="14"/>
  <c r="Q151" i="14"/>
  <c r="Q149" i="14"/>
  <c r="Q148" i="14"/>
  <c r="Q147" i="14"/>
  <c r="Q146" i="14"/>
  <c r="Q145" i="14"/>
  <c r="Q144" i="14"/>
  <c r="Q143" i="14"/>
  <c r="Q142" i="14"/>
  <c r="Q140" i="14"/>
  <c r="Q139" i="14"/>
  <c r="Q138" i="14"/>
  <c r="Q137" i="14"/>
  <c r="Q136" i="14"/>
  <c r="Q135" i="14"/>
  <c r="Q133" i="14"/>
  <c r="Q132" i="14"/>
  <c r="Q131" i="14"/>
  <c r="Q130" i="14"/>
  <c r="Q129" i="14"/>
  <c r="Q125" i="14"/>
  <c r="Q124" i="14"/>
  <c r="Q123" i="14"/>
  <c r="Q122" i="14"/>
  <c r="Q121" i="14"/>
  <c r="Q120" i="14"/>
  <c r="Q119" i="14"/>
  <c r="Q117" i="14"/>
  <c r="Q116" i="14"/>
  <c r="Q115" i="14"/>
  <c r="Q114" i="14"/>
  <c r="Q113" i="14"/>
  <c r="Q111" i="14"/>
  <c r="Q110" i="14"/>
  <c r="Q109" i="14"/>
  <c r="Q108" i="14"/>
  <c r="Q107" i="14"/>
  <c r="Q106" i="14"/>
  <c r="Q104" i="14"/>
  <c r="Q103" i="14"/>
  <c r="Q102" i="14"/>
  <c r="Q100" i="14"/>
  <c r="Q99" i="14"/>
  <c r="Q98" i="14"/>
  <c r="Q97" i="14"/>
  <c r="Q95" i="14"/>
  <c r="Q94" i="14"/>
  <c r="Q93" i="14"/>
  <c r="Q90" i="14"/>
  <c r="Q89" i="14"/>
  <c r="Q88" i="14"/>
  <c r="Q87" i="14"/>
  <c r="Q86" i="14"/>
  <c r="Q84" i="14"/>
  <c r="Q83" i="14"/>
  <c r="Q82" i="14"/>
  <c r="Q81" i="14"/>
  <c r="Q80" i="14"/>
  <c r="Q79" i="14"/>
  <c r="Q78" i="14"/>
  <c r="Q77" i="14"/>
  <c r="Q75" i="14"/>
  <c r="Q74" i="14"/>
  <c r="Q73" i="14"/>
  <c r="Q72" i="14"/>
  <c r="Q71" i="14"/>
  <c r="Q70" i="14"/>
  <c r="Q69" i="14"/>
  <c r="Q68" i="14"/>
  <c r="Q66" i="14"/>
  <c r="Q65" i="14"/>
  <c r="Q64" i="14"/>
  <c r="Q63" i="14"/>
  <c r="Q62" i="14"/>
  <c r="Q61" i="14"/>
  <c r="Q59" i="14"/>
  <c r="Q57" i="14"/>
  <c r="Q56" i="14"/>
  <c r="Q55" i="14"/>
  <c r="Q54" i="14"/>
  <c r="Q51" i="14"/>
  <c r="Q50" i="14"/>
  <c r="Q49" i="14"/>
  <c r="Q47" i="14"/>
  <c r="Q46" i="14"/>
  <c r="Q45" i="14"/>
  <c r="Q41" i="14"/>
  <c r="Q39" i="14"/>
  <c r="Q37" i="14"/>
  <c r="Q36" i="14"/>
  <c r="Q35" i="14"/>
  <c r="Q32" i="14"/>
  <c r="Q25" i="14"/>
  <c r="Q24" i="14"/>
  <c r="Q23" i="14"/>
  <c r="Q22" i="14"/>
  <c r="Q21" i="14"/>
  <c r="Q20" i="14"/>
  <c r="Q18" i="14"/>
  <c r="Q16" i="14"/>
  <c r="Q14" i="14"/>
  <c r="C345" i="14"/>
  <c r="C341" i="14" s="1"/>
  <c r="C331" i="14"/>
  <c r="C325" i="14"/>
  <c r="C320" i="14"/>
  <c r="C317" i="14"/>
  <c r="C311" i="14"/>
  <c r="C308" i="14"/>
  <c r="C298" i="14" l="1"/>
  <c r="C324" i="14"/>
  <c r="M21" i="31" l="1"/>
  <c r="E97" i="2" l="1"/>
  <c r="E90" i="2"/>
  <c r="E87" i="2"/>
  <c r="E85" i="2"/>
  <c r="E103" i="2" l="1"/>
  <c r="C58" i="28"/>
  <c r="I58" i="28" s="1"/>
  <c r="C63" i="28"/>
  <c r="I63" i="28" s="1"/>
  <c r="F106" i="2"/>
  <c r="I152" i="28"/>
  <c r="C65" i="1"/>
  <c r="F81" i="2"/>
  <c r="C77" i="1"/>
  <c r="C76" i="1" s="1"/>
  <c r="E91" i="2"/>
  <c r="D9" i="15"/>
  <c r="G102" i="2"/>
  <c r="G110" i="2" s="1"/>
  <c r="E67" i="2"/>
  <c r="F67" i="2" s="1"/>
  <c r="E69" i="2"/>
  <c r="E70" i="2"/>
  <c r="F70" i="2" s="1"/>
  <c r="C88" i="1"/>
  <c r="C43" i="1"/>
  <c r="F46" i="2"/>
  <c r="E36" i="2"/>
  <c r="E33" i="2"/>
  <c r="C75" i="28" l="1"/>
  <c r="I75" i="28" s="1"/>
  <c r="F69" i="2"/>
  <c r="I64" i="28"/>
  <c r="I66" i="28" s="1"/>
  <c r="I59" i="28"/>
  <c r="I61" i="28" s="1"/>
  <c r="E14" i="2"/>
  <c r="C11" i="2" l="1"/>
  <c r="E12" i="2"/>
  <c r="E110" i="2" s="1"/>
  <c r="F12" i="2" l="1"/>
  <c r="E59" i="27" l="1"/>
  <c r="F59" i="27" s="1"/>
  <c r="B59" i="27"/>
  <c r="A59" i="27"/>
  <c r="E58" i="27"/>
  <c r="E53" i="27"/>
  <c r="F53" i="27" s="1"/>
  <c r="B53" i="27"/>
  <c r="A53" i="27"/>
  <c r="E134" i="27" l="1"/>
  <c r="Q274" i="14" l="1"/>
  <c r="B12" i="23" l="1"/>
  <c r="B13" i="23" s="1"/>
  <c r="B14" i="23" s="1"/>
  <c r="B15" i="23" s="1"/>
  <c r="B16" i="23" s="1"/>
  <c r="B17" i="23" s="1"/>
  <c r="B18" i="23" s="1"/>
  <c r="B19" i="23" s="1"/>
  <c r="B20" i="23" s="1"/>
  <c r="B21" i="23" s="1"/>
  <c r="B22" i="23" s="1"/>
  <c r="B23" i="23" s="1"/>
  <c r="B24" i="23" s="1"/>
  <c r="B25" i="23" s="1"/>
  <c r="B26" i="23" s="1"/>
  <c r="B27" i="23" s="1"/>
  <c r="B28" i="23" l="1"/>
  <c r="B29" i="23" s="1"/>
  <c r="B30" i="23" s="1"/>
  <c r="B31" i="23" s="1"/>
  <c r="B32" i="23" s="1"/>
  <c r="B33" i="23" s="1"/>
  <c r="B34" i="23" s="1"/>
  <c r="B35" i="23" s="1"/>
  <c r="B36" i="23" s="1"/>
  <c r="B37" i="23" s="1"/>
  <c r="B38" i="23" s="1"/>
  <c r="B39" i="23" s="1"/>
  <c r="B40" i="23" s="1"/>
  <c r="B41" i="23" s="1"/>
  <c r="B42" i="23" s="1"/>
  <c r="B43" i="23" s="1"/>
  <c r="B44" i="23" s="1"/>
  <c r="B45" i="23" s="1"/>
  <c r="B46" i="23" s="1"/>
  <c r="B47" i="23" s="1"/>
  <c r="B48" i="23" s="1"/>
  <c r="C90" i="1"/>
  <c r="I159" i="28" l="1"/>
  <c r="T55" i="23"/>
  <c r="T10" i="23" l="1"/>
  <c r="E104" i="27" l="1"/>
  <c r="C12" i="1"/>
  <c r="C47" i="2" l="1"/>
  <c r="C46" i="1"/>
  <c r="C21" i="1"/>
  <c r="C20" i="1" l="1"/>
  <c r="C348" i="15"/>
  <c r="D12" i="26" l="1"/>
  <c r="F346" i="13" l="1"/>
  <c r="F344" i="13"/>
  <c r="F343" i="13"/>
  <c r="F342" i="13"/>
  <c r="F341" i="13"/>
  <c r="F339" i="13"/>
  <c r="F338" i="13"/>
  <c r="F337" i="13"/>
  <c r="F336" i="13"/>
  <c r="F335" i="13"/>
  <c r="F334" i="13"/>
  <c r="F333" i="13"/>
  <c r="F332" i="13"/>
  <c r="F331" i="13"/>
  <c r="F329" i="13"/>
  <c r="F328" i="13"/>
  <c r="F327" i="13"/>
  <c r="F326" i="13"/>
  <c r="F325" i="13"/>
  <c r="F322" i="13"/>
  <c r="F321" i="13"/>
  <c r="F320" i="13"/>
  <c r="F318" i="13"/>
  <c r="F317" i="13"/>
  <c r="F315" i="13"/>
  <c r="F314" i="13"/>
  <c r="F313" i="13"/>
  <c r="F312" i="13"/>
  <c r="F311" i="13"/>
  <c r="F309" i="13"/>
  <c r="F308" i="13"/>
  <c r="F306" i="13"/>
  <c r="F305" i="13"/>
  <c r="F304" i="13"/>
  <c r="F303" i="13"/>
  <c r="F302" i="13"/>
  <c r="F301" i="13"/>
  <c r="F300" i="13"/>
  <c r="F299" i="13"/>
  <c r="F296" i="13"/>
  <c r="F295" i="13"/>
  <c r="F294" i="13"/>
  <c r="F292" i="13"/>
  <c r="F291" i="13"/>
  <c r="F290" i="13"/>
  <c r="F288" i="13"/>
  <c r="F287" i="13"/>
  <c r="F285" i="13"/>
  <c r="F284" i="13"/>
  <c r="F283" i="13"/>
  <c r="F282" i="13"/>
  <c r="F281" i="13"/>
  <c r="F279" i="13"/>
  <c r="F278" i="13"/>
  <c r="F274" i="13"/>
  <c r="F273" i="13"/>
  <c r="F271" i="13"/>
  <c r="F270" i="13"/>
  <c r="F269" i="13"/>
  <c r="F268" i="13"/>
  <c r="F267" i="13"/>
  <c r="F265" i="13"/>
  <c r="F264" i="13"/>
  <c r="F263" i="13"/>
  <c r="F262" i="13"/>
  <c r="F261" i="13"/>
  <c r="F260" i="13"/>
  <c r="F253" i="13"/>
  <c r="F252" i="13"/>
  <c r="F251" i="13"/>
  <c r="F250" i="13"/>
  <c r="F249" i="13"/>
  <c r="F247" i="13"/>
  <c r="F246" i="13"/>
  <c r="F245" i="13"/>
  <c r="F244" i="13"/>
  <c r="F242" i="13"/>
  <c r="F241" i="13"/>
  <c r="F240" i="13"/>
  <c r="F239" i="13"/>
  <c r="F238" i="13"/>
  <c r="F237" i="13"/>
  <c r="F236" i="13"/>
  <c r="F235" i="13"/>
  <c r="F234" i="13"/>
  <c r="F232" i="13"/>
  <c r="F231" i="13"/>
  <c r="F230" i="13"/>
  <c r="F229" i="13"/>
  <c r="F228" i="13"/>
  <c r="F227" i="13"/>
  <c r="F226" i="13"/>
  <c r="F225" i="13"/>
  <c r="F224" i="13"/>
  <c r="F221" i="13"/>
  <c r="F220" i="13"/>
  <c r="F219" i="13"/>
  <c r="F217" i="13"/>
  <c r="F216" i="13"/>
  <c r="F215" i="13"/>
  <c r="F214" i="13"/>
  <c r="F213" i="13"/>
  <c r="F212" i="13"/>
  <c r="F211" i="13"/>
  <c r="F210" i="13"/>
  <c r="F209" i="13"/>
  <c r="F207" i="13"/>
  <c r="F206" i="13"/>
  <c r="F205" i="13"/>
  <c r="F204" i="13"/>
  <c r="F203" i="13"/>
  <c r="F202" i="13"/>
  <c r="F201" i="13"/>
  <c r="F200" i="13"/>
  <c r="F199" i="13"/>
  <c r="F196" i="13"/>
  <c r="F195" i="13"/>
  <c r="F194" i="13"/>
  <c r="F193" i="13"/>
  <c r="F192" i="13"/>
  <c r="F191" i="13"/>
  <c r="F189" i="13"/>
  <c r="F188" i="13"/>
  <c r="F187" i="13"/>
  <c r="F185" i="13"/>
  <c r="F184" i="13"/>
  <c r="F183" i="13"/>
  <c r="F182" i="13"/>
  <c r="F181" i="13"/>
  <c r="F180" i="13"/>
  <c r="F179" i="13"/>
  <c r="F178" i="13"/>
  <c r="F177" i="13"/>
  <c r="F175" i="13"/>
  <c r="F174" i="13"/>
  <c r="F173" i="13"/>
  <c r="F172" i="13"/>
  <c r="F171" i="13"/>
  <c r="F168" i="13"/>
  <c r="F167" i="13"/>
  <c r="F166" i="13"/>
  <c r="F165" i="13"/>
  <c r="F164" i="13"/>
  <c r="F163" i="13"/>
  <c r="F162" i="13"/>
  <c r="F161" i="13"/>
  <c r="F160" i="13"/>
  <c r="F158" i="13"/>
  <c r="F157" i="13"/>
  <c r="F156" i="13"/>
  <c r="F155" i="13"/>
  <c r="F154" i="13"/>
  <c r="F152" i="13"/>
  <c r="F151" i="13"/>
  <c r="F150" i="13"/>
  <c r="F148" i="13"/>
  <c r="F147" i="13"/>
  <c r="F146" i="13"/>
  <c r="F145" i="13"/>
  <c r="F144" i="13"/>
  <c r="F143" i="13"/>
  <c r="F142" i="13"/>
  <c r="F141" i="13"/>
  <c r="F139" i="13"/>
  <c r="F138" i="13"/>
  <c r="F137" i="13"/>
  <c r="F136" i="13"/>
  <c r="F135" i="13"/>
  <c r="F134" i="13"/>
  <c r="F132" i="13"/>
  <c r="F131" i="13"/>
  <c r="F130" i="13"/>
  <c r="F129" i="13"/>
  <c r="F128" i="13"/>
  <c r="F127" i="13"/>
  <c r="F124" i="13"/>
  <c r="F123" i="13"/>
  <c r="F122" i="13"/>
  <c r="F121" i="13"/>
  <c r="F120" i="13"/>
  <c r="F119" i="13"/>
  <c r="F118" i="13"/>
  <c r="F116" i="13"/>
  <c r="F115" i="13"/>
  <c r="F114" i="13"/>
  <c r="F113" i="13"/>
  <c r="F112" i="13"/>
  <c r="F110" i="13"/>
  <c r="F109" i="13"/>
  <c r="F108" i="13"/>
  <c r="F107" i="13"/>
  <c r="F106" i="13"/>
  <c r="F105" i="13"/>
  <c r="F104" i="13"/>
  <c r="F103" i="13"/>
  <c r="F102" i="13"/>
  <c r="F101" i="13"/>
  <c r="F99" i="13"/>
  <c r="F98" i="13"/>
  <c r="F97" i="13"/>
  <c r="F96" i="13"/>
  <c r="F94" i="13"/>
  <c r="F93" i="13"/>
  <c r="F92" i="13"/>
  <c r="F89" i="13"/>
  <c r="F88" i="13"/>
  <c r="F87" i="13"/>
  <c r="F86" i="13"/>
  <c r="F85" i="13"/>
  <c r="F83" i="13"/>
  <c r="F82" i="13"/>
  <c r="F81" i="13"/>
  <c r="F80" i="13"/>
  <c r="F79" i="13"/>
  <c r="F78" i="13"/>
  <c r="F77" i="13"/>
  <c r="F76" i="13"/>
  <c r="F74" i="13"/>
  <c r="F73" i="13"/>
  <c r="F72" i="13"/>
  <c r="F71" i="13"/>
  <c r="F70" i="13"/>
  <c r="F69" i="13"/>
  <c r="F68" i="13"/>
  <c r="F67" i="13"/>
  <c r="F65" i="13"/>
  <c r="F63" i="13"/>
  <c r="F61" i="13"/>
  <c r="F60" i="13"/>
  <c r="F58" i="13"/>
  <c r="F57" i="13"/>
  <c r="F56" i="13"/>
  <c r="F55" i="13"/>
  <c r="F54" i="13"/>
  <c r="F53" i="13"/>
  <c r="F50" i="13"/>
  <c r="F49" i="13"/>
  <c r="F48" i="13"/>
  <c r="F46" i="13"/>
  <c r="F45" i="13"/>
  <c r="F44" i="13"/>
  <c r="F41" i="13"/>
  <c r="F39" i="13"/>
  <c r="F38" i="13"/>
  <c r="F36" i="13"/>
  <c r="F35" i="13"/>
  <c r="F34" i="13"/>
  <c r="F31" i="13"/>
  <c r="F30" i="13"/>
  <c r="F29" i="13"/>
  <c r="F23" i="13"/>
  <c r="F22" i="13"/>
  <c r="F21" i="13"/>
  <c r="F20" i="13"/>
  <c r="F19" i="13"/>
  <c r="F18" i="13"/>
  <c r="F16" i="13"/>
  <c r="F14" i="13"/>
  <c r="F12" i="13"/>
  <c r="P345" i="14"/>
  <c r="P341" i="14" s="1"/>
  <c r="O345" i="14"/>
  <c r="O341" i="14" s="1"/>
  <c r="N345" i="14"/>
  <c r="N341" i="14" s="1"/>
  <c r="M345" i="14"/>
  <c r="M341" i="14" s="1"/>
  <c r="L345" i="14"/>
  <c r="L341" i="14" s="1"/>
  <c r="K345" i="14"/>
  <c r="K341" i="14" s="1"/>
  <c r="I345" i="14"/>
  <c r="I341" i="14" s="1"/>
  <c r="H345" i="14"/>
  <c r="H341" i="14" s="1"/>
  <c r="F345" i="14"/>
  <c r="E345" i="14"/>
  <c r="E341" i="14" s="1"/>
  <c r="F341" i="14"/>
  <c r="P331" i="14"/>
  <c r="O331" i="14"/>
  <c r="N331" i="14"/>
  <c r="M331" i="14"/>
  <c r="L331" i="14"/>
  <c r="K331" i="14"/>
  <c r="I331" i="14"/>
  <c r="H331" i="14"/>
  <c r="F331" i="14"/>
  <c r="E331" i="14"/>
  <c r="P325" i="14"/>
  <c r="O325" i="14"/>
  <c r="O324" i="14" s="1"/>
  <c r="N325" i="14"/>
  <c r="M325" i="14"/>
  <c r="L325" i="14"/>
  <c r="K325" i="14"/>
  <c r="K324" i="14" s="1"/>
  <c r="I325" i="14"/>
  <c r="H325" i="14"/>
  <c r="F325" i="14"/>
  <c r="E325" i="14"/>
  <c r="E324" i="14" s="1"/>
  <c r="P320" i="14"/>
  <c r="O320" i="14"/>
  <c r="N320" i="14"/>
  <c r="M320" i="14"/>
  <c r="L320" i="14"/>
  <c r="K320" i="14"/>
  <c r="I320" i="14"/>
  <c r="H320" i="14"/>
  <c r="F320" i="14"/>
  <c r="E320" i="14"/>
  <c r="P317" i="14"/>
  <c r="O317" i="14"/>
  <c r="N317" i="14"/>
  <c r="M317" i="14"/>
  <c r="L317" i="14"/>
  <c r="K317" i="14"/>
  <c r="I317" i="14"/>
  <c r="H317" i="14"/>
  <c r="F317" i="14"/>
  <c r="E317" i="14"/>
  <c r="P311" i="14"/>
  <c r="O311" i="14"/>
  <c r="N311" i="14"/>
  <c r="M311" i="14"/>
  <c r="L311" i="14"/>
  <c r="K311" i="14"/>
  <c r="I311" i="14"/>
  <c r="H311" i="14"/>
  <c r="F311" i="14"/>
  <c r="E311" i="14"/>
  <c r="P308" i="14"/>
  <c r="O308" i="14"/>
  <c r="N308" i="14"/>
  <c r="M308" i="14"/>
  <c r="L308" i="14"/>
  <c r="K308" i="14"/>
  <c r="I308" i="14"/>
  <c r="H308" i="14"/>
  <c r="F308" i="14"/>
  <c r="E308" i="14"/>
  <c r="P299" i="14"/>
  <c r="O299" i="14"/>
  <c r="N299" i="14"/>
  <c r="M299" i="14"/>
  <c r="L299" i="14"/>
  <c r="K299" i="14"/>
  <c r="I299" i="14"/>
  <c r="H299" i="14"/>
  <c r="F299" i="14"/>
  <c r="E299" i="14"/>
  <c r="P294" i="14"/>
  <c r="O294" i="14"/>
  <c r="N294" i="14"/>
  <c r="M294" i="14"/>
  <c r="L294" i="14"/>
  <c r="K294" i="14"/>
  <c r="I294" i="14"/>
  <c r="H294" i="14"/>
  <c r="F294" i="14"/>
  <c r="E294" i="14"/>
  <c r="P290" i="14"/>
  <c r="O290" i="14"/>
  <c r="N290" i="14"/>
  <c r="M290" i="14"/>
  <c r="L290" i="14"/>
  <c r="K290" i="14"/>
  <c r="I290" i="14"/>
  <c r="H290" i="14"/>
  <c r="F290" i="14"/>
  <c r="E290" i="14"/>
  <c r="P287" i="14"/>
  <c r="O287" i="14"/>
  <c r="N287" i="14"/>
  <c r="M287" i="14"/>
  <c r="L287" i="14"/>
  <c r="K287" i="14"/>
  <c r="I287" i="14"/>
  <c r="H287" i="14"/>
  <c r="F287" i="14"/>
  <c r="E287" i="14"/>
  <c r="P281" i="14"/>
  <c r="O281" i="14"/>
  <c r="N281" i="14"/>
  <c r="M281" i="14"/>
  <c r="L281" i="14"/>
  <c r="K281" i="14"/>
  <c r="I281" i="14"/>
  <c r="H281" i="14"/>
  <c r="F281" i="14"/>
  <c r="E281" i="14"/>
  <c r="P273" i="14"/>
  <c r="O273" i="14"/>
  <c r="N273" i="14"/>
  <c r="M273" i="14"/>
  <c r="L273" i="14"/>
  <c r="K273" i="14"/>
  <c r="I273" i="14"/>
  <c r="H273" i="14"/>
  <c r="F273" i="14"/>
  <c r="E273" i="14"/>
  <c r="P267" i="14"/>
  <c r="O267" i="14"/>
  <c r="N267" i="14"/>
  <c r="M267" i="14"/>
  <c r="L267" i="14"/>
  <c r="K267" i="14"/>
  <c r="I267" i="14"/>
  <c r="H267" i="14"/>
  <c r="F267" i="14"/>
  <c r="E267" i="14"/>
  <c r="P256" i="14"/>
  <c r="O256" i="14"/>
  <c r="N256" i="14"/>
  <c r="M256" i="14"/>
  <c r="L256" i="14"/>
  <c r="K256" i="14"/>
  <c r="I256" i="14"/>
  <c r="H256" i="14"/>
  <c r="F256" i="14"/>
  <c r="E256" i="14"/>
  <c r="P249" i="14"/>
  <c r="O249" i="14"/>
  <c r="N249" i="14"/>
  <c r="M249" i="14"/>
  <c r="L249" i="14"/>
  <c r="K249" i="14"/>
  <c r="I249" i="14"/>
  <c r="H249" i="14"/>
  <c r="F249" i="14"/>
  <c r="E249" i="14"/>
  <c r="P244" i="14"/>
  <c r="O244" i="14"/>
  <c r="N244" i="14"/>
  <c r="M244" i="14"/>
  <c r="L244" i="14"/>
  <c r="K244" i="14"/>
  <c r="I244" i="14"/>
  <c r="H244" i="14"/>
  <c r="F244" i="14"/>
  <c r="E244" i="14"/>
  <c r="P234" i="14"/>
  <c r="O234" i="14"/>
  <c r="N234" i="14"/>
  <c r="M234" i="14"/>
  <c r="L234" i="14"/>
  <c r="K234" i="14"/>
  <c r="I234" i="14"/>
  <c r="H234" i="14"/>
  <c r="F234" i="14"/>
  <c r="E234" i="14"/>
  <c r="P224" i="14"/>
  <c r="O224" i="14"/>
  <c r="N224" i="14"/>
  <c r="M224" i="14"/>
  <c r="L224" i="14"/>
  <c r="K224" i="14"/>
  <c r="I224" i="14"/>
  <c r="H224" i="14"/>
  <c r="F224" i="14"/>
  <c r="E224" i="14"/>
  <c r="P219" i="14"/>
  <c r="O219" i="14"/>
  <c r="N219" i="14"/>
  <c r="M219" i="14"/>
  <c r="L219" i="14"/>
  <c r="K219" i="14"/>
  <c r="I219" i="14"/>
  <c r="H219" i="14"/>
  <c r="F219" i="14"/>
  <c r="E219" i="14"/>
  <c r="P209" i="14"/>
  <c r="O209" i="14"/>
  <c r="N209" i="14"/>
  <c r="M209" i="14"/>
  <c r="L209" i="14"/>
  <c r="K209" i="14"/>
  <c r="I209" i="14"/>
  <c r="H209" i="14"/>
  <c r="F209" i="14"/>
  <c r="E209" i="14"/>
  <c r="P199" i="14"/>
  <c r="O199" i="14"/>
  <c r="N199" i="14"/>
  <c r="M199" i="14"/>
  <c r="L199" i="14"/>
  <c r="K199" i="14"/>
  <c r="I199" i="14"/>
  <c r="H199" i="14"/>
  <c r="F199" i="14"/>
  <c r="E199" i="14"/>
  <c r="P191" i="14"/>
  <c r="O191" i="14"/>
  <c r="N191" i="14"/>
  <c r="M191" i="14"/>
  <c r="L191" i="14"/>
  <c r="K191" i="14"/>
  <c r="I191" i="14"/>
  <c r="H191" i="14"/>
  <c r="F191" i="14"/>
  <c r="E191" i="14"/>
  <c r="P187" i="14"/>
  <c r="O187" i="14"/>
  <c r="N187" i="14"/>
  <c r="M187" i="14"/>
  <c r="L187" i="14"/>
  <c r="K187" i="14"/>
  <c r="I187" i="14"/>
  <c r="H187" i="14"/>
  <c r="F187" i="14"/>
  <c r="E187" i="14"/>
  <c r="P177" i="14"/>
  <c r="O177" i="14"/>
  <c r="N177" i="14"/>
  <c r="M177" i="14"/>
  <c r="L177" i="14"/>
  <c r="K177" i="14"/>
  <c r="I177" i="14"/>
  <c r="H177" i="14"/>
  <c r="F177" i="14"/>
  <c r="E177" i="14"/>
  <c r="P171" i="14"/>
  <c r="O171" i="14"/>
  <c r="N171" i="14"/>
  <c r="M171" i="14"/>
  <c r="L171" i="14"/>
  <c r="K171" i="14"/>
  <c r="I171" i="14"/>
  <c r="H171" i="14"/>
  <c r="F171" i="14"/>
  <c r="E171" i="14"/>
  <c r="P19" i="14"/>
  <c r="O19" i="14"/>
  <c r="N19" i="14"/>
  <c r="M19" i="14"/>
  <c r="L19" i="14"/>
  <c r="K19" i="14"/>
  <c r="I19" i="14"/>
  <c r="H19" i="14"/>
  <c r="F19" i="14"/>
  <c r="I12" i="14"/>
  <c r="F12" i="14"/>
  <c r="E12" i="14"/>
  <c r="P160" i="14"/>
  <c r="O160" i="14"/>
  <c r="N160" i="14"/>
  <c r="M160" i="14"/>
  <c r="L160" i="14"/>
  <c r="K160" i="14"/>
  <c r="I160" i="14"/>
  <c r="H160" i="14"/>
  <c r="F160" i="14"/>
  <c r="E160" i="14"/>
  <c r="P154" i="14"/>
  <c r="O154" i="14"/>
  <c r="N154" i="14"/>
  <c r="M154" i="14"/>
  <c r="L154" i="14"/>
  <c r="K154" i="14"/>
  <c r="I154" i="14"/>
  <c r="H154" i="14"/>
  <c r="F154" i="14"/>
  <c r="E154" i="14"/>
  <c r="P150" i="14"/>
  <c r="O150" i="14"/>
  <c r="N150" i="14"/>
  <c r="M150" i="14"/>
  <c r="L150" i="14"/>
  <c r="K150" i="14"/>
  <c r="I150" i="14"/>
  <c r="H150" i="14"/>
  <c r="F150" i="14"/>
  <c r="E150" i="14"/>
  <c r="P141" i="14"/>
  <c r="O141" i="14"/>
  <c r="N141" i="14"/>
  <c r="M141" i="14"/>
  <c r="L141" i="14"/>
  <c r="K141" i="14"/>
  <c r="I141" i="14"/>
  <c r="H141" i="14"/>
  <c r="F141" i="14"/>
  <c r="E141" i="14"/>
  <c r="P134" i="14"/>
  <c r="O134" i="14"/>
  <c r="N134" i="14"/>
  <c r="M134" i="14"/>
  <c r="L134" i="14"/>
  <c r="K134" i="14"/>
  <c r="I134" i="14"/>
  <c r="H134" i="14"/>
  <c r="F134" i="14"/>
  <c r="E134" i="14"/>
  <c r="P127" i="14"/>
  <c r="O127" i="14"/>
  <c r="N127" i="14"/>
  <c r="M127" i="14"/>
  <c r="L127" i="14"/>
  <c r="K127" i="14"/>
  <c r="I127" i="14"/>
  <c r="H127" i="14"/>
  <c r="F127" i="14"/>
  <c r="P118" i="14"/>
  <c r="O118" i="14"/>
  <c r="N118" i="14"/>
  <c r="M118" i="14"/>
  <c r="L118" i="14"/>
  <c r="K118" i="14"/>
  <c r="I118" i="14"/>
  <c r="H118" i="14"/>
  <c r="F118" i="14"/>
  <c r="E118" i="14"/>
  <c r="P112" i="14"/>
  <c r="O112" i="14"/>
  <c r="N112" i="14"/>
  <c r="M112" i="14"/>
  <c r="L112" i="14"/>
  <c r="K112" i="14"/>
  <c r="I112" i="14"/>
  <c r="H112" i="14"/>
  <c r="F112" i="14"/>
  <c r="E112" i="14"/>
  <c r="P101" i="14"/>
  <c r="N101" i="14"/>
  <c r="M101" i="14"/>
  <c r="L101" i="14"/>
  <c r="K101" i="14"/>
  <c r="I101" i="14"/>
  <c r="H101" i="14"/>
  <c r="F101" i="14"/>
  <c r="E101" i="14"/>
  <c r="P96" i="14"/>
  <c r="O96" i="14"/>
  <c r="N96" i="14"/>
  <c r="M96" i="14"/>
  <c r="L96" i="14"/>
  <c r="K96" i="14"/>
  <c r="I96" i="14"/>
  <c r="H96" i="14"/>
  <c r="F96" i="14"/>
  <c r="E96" i="14"/>
  <c r="I91" i="14"/>
  <c r="F91" i="14"/>
  <c r="E91" i="14"/>
  <c r="P85" i="14"/>
  <c r="O85" i="14"/>
  <c r="N85" i="14"/>
  <c r="M85" i="14"/>
  <c r="L85" i="14"/>
  <c r="K85" i="14"/>
  <c r="I85" i="14"/>
  <c r="H85" i="14"/>
  <c r="F85" i="14"/>
  <c r="E85" i="14"/>
  <c r="P76" i="14"/>
  <c r="O76" i="14"/>
  <c r="N76" i="14"/>
  <c r="M76" i="14"/>
  <c r="L76" i="14"/>
  <c r="K76" i="14"/>
  <c r="I76" i="14"/>
  <c r="H76" i="14"/>
  <c r="F76" i="14"/>
  <c r="E76" i="14"/>
  <c r="P67" i="14"/>
  <c r="O67" i="14"/>
  <c r="N67" i="14"/>
  <c r="M67" i="14"/>
  <c r="L67" i="14"/>
  <c r="K67" i="14"/>
  <c r="I67" i="14"/>
  <c r="H67" i="14"/>
  <c r="F67" i="14"/>
  <c r="E67" i="14"/>
  <c r="P60" i="14"/>
  <c r="O60" i="14"/>
  <c r="N60" i="14"/>
  <c r="M60" i="14"/>
  <c r="L60" i="14"/>
  <c r="K60" i="14"/>
  <c r="I60" i="14"/>
  <c r="H60" i="14"/>
  <c r="F60" i="14"/>
  <c r="E60" i="14"/>
  <c r="P53" i="14"/>
  <c r="O53" i="14"/>
  <c r="M53" i="14"/>
  <c r="L53" i="14"/>
  <c r="K53" i="14"/>
  <c r="I53" i="14"/>
  <c r="H53" i="14"/>
  <c r="F53" i="14"/>
  <c r="E53" i="14"/>
  <c r="P48" i="14"/>
  <c r="O48" i="14"/>
  <c r="N48" i="14"/>
  <c r="M48" i="14"/>
  <c r="L48" i="14"/>
  <c r="K48" i="14"/>
  <c r="I48" i="14"/>
  <c r="H48" i="14"/>
  <c r="F48" i="14"/>
  <c r="E48" i="14"/>
  <c r="H324" i="14" l="1"/>
  <c r="L223" i="14"/>
  <c r="I324" i="14"/>
  <c r="E198" i="14"/>
  <c r="K198" i="14"/>
  <c r="O198" i="14"/>
  <c r="P170" i="14"/>
  <c r="F298" i="14"/>
  <c r="L298" i="14"/>
  <c r="I170" i="14"/>
  <c r="N170" i="14"/>
  <c r="L170" i="14"/>
  <c r="I198" i="14"/>
  <c r="N198" i="14"/>
  <c r="F223" i="14"/>
  <c r="M324" i="14"/>
  <c r="H223" i="14"/>
  <c r="K255" i="14"/>
  <c r="N324" i="14"/>
  <c r="M126" i="14"/>
  <c r="E170" i="14"/>
  <c r="K170" i="14"/>
  <c r="O170" i="14"/>
  <c r="P324" i="14"/>
  <c r="P126" i="14"/>
  <c r="M198" i="14"/>
  <c r="P223" i="14"/>
  <c r="H255" i="14"/>
  <c r="M255" i="14"/>
  <c r="P255" i="14"/>
  <c r="E255" i="14"/>
  <c r="M298" i="14"/>
  <c r="P298" i="14"/>
  <c r="F324" i="14"/>
  <c r="L324" i="14"/>
  <c r="K126" i="14"/>
  <c r="O126" i="14"/>
  <c r="K223" i="14"/>
  <c r="O223" i="14"/>
  <c r="L255" i="14"/>
  <c r="F255" i="14"/>
  <c r="I298" i="14"/>
  <c r="N298" i="14"/>
  <c r="E298" i="14"/>
  <c r="K298" i="14"/>
  <c r="O298" i="14"/>
  <c r="F170" i="14"/>
  <c r="L198" i="14"/>
  <c r="H198" i="14"/>
  <c r="P198" i="14"/>
  <c r="F52" i="14"/>
  <c r="F126" i="14"/>
  <c r="H170" i="14"/>
  <c r="M170" i="14"/>
  <c r="M223" i="14"/>
  <c r="L126" i="14"/>
  <c r="H126" i="14"/>
  <c r="O255" i="14"/>
  <c r="I26" i="14"/>
  <c r="H298" i="14"/>
  <c r="I255" i="14"/>
  <c r="N255" i="14"/>
  <c r="E223" i="14"/>
  <c r="I223" i="14"/>
  <c r="N223" i="14"/>
  <c r="F198" i="14"/>
  <c r="I126" i="14"/>
  <c r="N126" i="14"/>
  <c r="E52" i="14"/>
  <c r="I52" i="14"/>
  <c r="E10" i="30"/>
  <c r="E143" i="27"/>
  <c r="F143" i="27" s="1"/>
  <c r="C89" i="2"/>
  <c r="C88" i="2" s="1"/>
  <c r="F168" i="27"/>
  <c r="F101" i="27"/>
  <c r="F100" i="27"/>
  <c r="F87" i="27"/>
  <c r="F101" i="28"/>
  <c r="F102" i="28" s="1"/>
  <c r="F103" i="28" s="1"/>
  <c r="F104" i="28" s="1"/>
  <c r="F105" i="28" s="1"/>
  <c r="F106" i="28" s="1"/>
  <c r="F107" i="28" s="1"/>
  <c r="F108" i="28" s="1"/>
  <c r="F109" i="28" s="1"/>
  <c r="F110" i="28" s="1"/>
  <c r="F111" i="28" s="1"/>
  <c r="F112" i="28" s="1"/>
  <c r="F113" i="28" s="1"/>
  <c r="F114" i="28" s="1"/>
  <c r="F115" i="28" s="1"/>
  <c r="F116" i="28" s="1"/>
  <c r="F117" i="28" s="1"/>
  <c r="F118" i="28" s="1"/>
  <c r="F119" i="28" s="1"/>
  <c r="F120" i="28" s="1"/>
  <c r="F121" i="28" s="1"/>
  <c r="F122" i="28" s="1"/>
  <c r="F123" i="28" s="1"/>
  <c r="F124" i="28" s="1"/>
  <c r="F125" i="28" s="1"/>
  <c r="F126" i="28" s="1"/>
  <c r="F127" i="28" s="1"/>
  <c r="F128" i="28" s="1"/>
  <c r="F129" i="28" s="1"/>
  <c r="F130" i="28" s="1"/>
  <c r="F131" i="28" s="1"/>
  <c r="F132" i="28" s="1"/>
  <c r="F133" i="28" s="1"/>
  <c r="F134" i="28" s="1"/>
  <c r="F135" i="28" s="1"/>
  <c r="F136" i="28" s="1"/>
  <c r="F137" i="28" s="1"/>
  <c r="F138" i="28" s="1"/>
  <c r="I19" i="28"/>
  <c r="I18" i="28"/>
  <c r="B9" i="18"/>
  <c r="E18" i="7"/>
  <c r="E27" i="7"/>
  <c r="E277" i="13" s="1"/>
  <c r="F277" i="13" s="1"/>
  <c r="E26" i="7"/>
  <c r="E276" i="13" s="1"/>
  <c r="F276" i="13" s="1"/>
  <c r="C166" i="27" s="1"/>
  <c r="M12" i="3"/>
  <c r="M13" i="3"/>
  <c r="M14" i="3"/>
  <c r="M15" i="3"/>
  <c r="M16" i="3"/>
  <c r="M17" i="3"/>
  <c r="M18" i="3"/>
  <c r="M19" i="3"/>
  <c r="M20" i="3"/>
  <c r="M28" i="3"/>
  <c r="M29" i="3"/>
  <c r="M30" i="3"/>
  <c r="J31" i="3"/>
  <c r="M31" i="3"/>
  <c r="M32" i="3"/>
  <c r="M33" i="3"/>
  <c r="M34" i="3"/>
  <c r="M35" i="3"/>
  <c r="M36" i="3"/>
  <c r="M37" i="3"/>
  <c r="J42" i="3"/>
  <c r="M42" i="3"/>
  <c r="J43" i="3"/>
  <c r="M43" i="3"/>
  <c r="M44" i="3"/>
  <c r="J46" i="3"/>
  <c r="M46" i="3"/>
  <c r="J54" i="3"/>
  <c r="M54" i="3"/>
  <c r="J55" i="3"/>
  <c r="M55" i="3"/>
  <c r="J56" i="3"/>
  <c r="M56" i="3"/>
  <c r="J57" i="3"/>
  <c r="M57" i="3"/>
  <c r="M58" i="3"/>
  <c r="M59" i="3"/>
  <c r="M60" i="3"/>
  <c r="M61" i="3"/>
  <c r="M62" i="3"/>
  <c r="M63" i="3"/>
  <c r="M64" i="3"/>
  <c r="M65" i="3"/>
  <c r="M66" i="3"/>
  <c r="J67" i="3"/>
  <c r="M67" i="3"/>
  <c r="M68" i="3"/>
  <c r="M69" i="3"/>
  <c r="M70" i="3"/>
  <c r="M71" i="3"/>
  <c r="J80" i="3"/>
  <c r="L80" i="3"/>
  <c r="K81" i="3"/>
  <c r="M81" i="3"/>
  <c r="K84" i="3"/>
  <c r="M84" i="3"/>
  <c r="K85" i="3"/>
  <c r="M85" i="3"/>
  <c r="M86" i="3"/>
  <c r="M87" i="3"/>
  <c r="L88" i="3"/>
  <c r="L89" i="3"/>
  <c r="L90" i="3"/>
  <c r="L92" i="3"/>
  <c r="L93" i="3"/>
  <c r="L94" i="3"/>
  <c r="L95" i="3"/>
  <c r="L96" i="3"/>
  <c r="L97" i="3"/>
  <c r="L98" i="3"/>
  <c r="K99" i="3"/>
  <c r="M99" i="3"/>
  <c r="M102" i="3"/>
  <c r="K103"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L138" i="3"/>
  <c r="L139" i="3"/>
  <c r="K140" i="3"/>
  <c r="L140" i="3"/>
  <c r="O140" i="3"/>
  <c r="L150" i="3"/>
  <c r="L151" i="3"/>
  <c r="M153" i="3"/>
  <c r="M154" i="3"/>
  <c r="M155" i="3"/>
  <c r="K156" i="3"/>
  <c r="M156" i="3"/>
  <c r="M157" i="3"/>
  <c r="M158" i="3"/>
  <c r="M159" i="3"/>
  <c r="M160" i="3"/>
  <c r="M161" i="3"/>
  <c r="M162" i="3"/>
  <c r="M163" i="3"/>
  <c r="M164" i="3"/>
  <c r="M165" i="3"/>
  <c r="K166" i="3"/>
  <c r="L166" i="3"/>
  <c r="L167" i="3"/>
  <c r="K169" i="3"/>
  <c r="M169" i="3"/>
  <c r="M170" i="3"/>
  <c r="M171" i="3"/>
  <c r="M172" i="3"/>
  <c r="M173" i="3"/>
  <c r="M174" i="3"/>
  <c r="M175" i="3"/>
  <c r="M176" i="3"/>
  <c r="M177" i="3"/>
  <c r="M178" i="3"/>
  <c r="M179" i="3"/>
  <c r="M180" i="3"/>
  <c r="M181" i="3"/>
  <c r="M182" i="3"/>
  <c r="M183" i="3"/>
  <c r="M185" i="3"/>
  <c r="M186" i="3"/>
  <c r="M187" i="3"/>
  <c r="M188" i="3"/>
  <c r="M189" i="3"/>
  <c r="M190" i="3"/>
  <c r="M191" i="3"/>
  <c r="K192" i="3"/>
  <c r="L192" i="3"/>
  <c r="L195" i="3"/>
  <c r="K196" i="3"/>
  <c r="M196" i="3"/>
  <c r="M197" i="3"/>
  <c r="M198" i="3"/>
  <c r="M199" i="3"/>
  <c r="M200" i="3"/>
  <c r="M201" i="3"/>
  <c r="M202" i="3"/>
  <c r="M203" i="3"/>
  <c r="M204" i="3"/>
  <c r="M205" i="3"/>
  <c r="M206" i="3"/>
  <c r="L207" i="3"/>
  <c r="L208" i="3"/>
  <c r="K209" i="3"/>
  <c r="M209" i="3"/>
  <c r="K210" i="3"/>
  <c r="M210" i="3"/>
  <c r="K224" i="3"/>
  <c r="L224" i="3"/>
  <c r="L225" i="3"/>
  <c r="O225" i="3"/>
  <c r="L226" i="3"/>
  <c r="K227" i="3"/>
  <c r="L227" i="3"/>
  <c r="L228" i="3"/>
  <c r="L229" i="3"/>
  <c r="L230" i="3"/>
  <c r="L231" i="3"/>
  <c r="L232" i="3"/>
  <c r="L233" i="3"/>
  <c r="L234" i="3"/>
  <c r="L235" i="3"/>
  <c r="L236" i="3"/>
  <c r="L237" i="3"/>
  <c r="L238" i="3"/>
  <c r="L239" i="3"/>
  <c r="L240" i="3"/>
  <c r="L241" i="3"/>
  <c r="L242" i="3"/>
  <c r="L243" i="3"/>
  <c r="L244" i="3"/>
  <c r="K246" i="3"/>
  <c r="L246" i="3"/>
  <c r="K247" i="3"/>
  <c r="L247" i="3"/>
  <c r="J248" i="3"/>
  <c r="L248" i="3" s="1"/>
  <c r="J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K308" i="3"/>
  <c r="L308" i="3"/>
  <c r="L309" i="3"/>
  <c r="L310" i="3"/>
  <c r="L311" i="3"/>
  <c r="L312" i="3"/>
  <c r="L313" i="3"/>
  <c r="J315" i="3"/>
  <c r="L315" i="3" s="1"/>
  <c r="L319" i="3"/>
  <c r="C322" i="3"/>
  <c r="K322" i="3" s="1"/>
  <c r="J323" i="3"/>
  <c r="J325" i="3"/>
  <c r="J333" i="3"/>
  <c r="J334" i="3"/>
  <c r="J335" i="3"/>
  <c r="J336" i="3"/>
  <c r="J337" i="3"/>
  <c r="J338" i="3"/>
  <c r="J340" i="3"/>
  <c r="J341" i="3"/>
  <c r="J343" i="3"/>
  <c r="J344" i="3"/>
  <c r="J348" i="3"/>
  <c r="J349" i="3"/>
  <c r="J351" i="3"/>
  <c r="J352" i="3"/>
  <c r="J353" i="3"/>
  <c r="J354" i="3"/>
  <c r="J358" i="3"/>
  <c r="M365" i="3"/>
  <c r="J372" i="3"/>
  <c r="I33" i="28"/>
  <c r="I40" i="28"/>
  <c r="A68" i="28"/>
  <c r="B68" i="28"/>
  <c r="C68" i="28"/>
  <c r="I68" i="28" s="1"/>
  <c r="C80" i="28"/>
  <c r="I80" i="28" s="1"/>
  <c r="C85" i="28"/>
  <c r="I85" i="28" s="1"/>
  <c r="C99" i="28"/>
  <c r="A143" i="28"/>
  <c r="B143" i="28"/>
  <c r="C143" i="28"/>
  <c r="C149" i="28"/>
  <c r="I149" i="28" s="1"/>
  <c r="D40" i="10"/>
  <c r="E14" i="27"/>
  <c r="E16" i="27"/>
  <c r="E19" i="27"/>
  <c r="C20" i="27"/>
  <c r="E20" i="27"/>
  <c r="C27" i="27"/>
  <c r="E27" i="27"/>
  <c r="C32" i="27"/>
  <c r="E32" i="27"/>
  <c r="E38" i="27"/>
  <c r="E42" i="27"/>
  <c r="E44" i="27"/>
  <c r="E45" i="27"/>
  <c r="E46" i="27"/>
  <c r="E47" i="27"/>
  <c r="E48" i="27"/>
  <c r="E50" i="27"/>
  <c r="E51" i="27"/>
  <c r="E52" i="27"/>
  <c r="E54" i="27"/>
  <c r="E56" i="27"/>
  <c r="E57" i="27"/>
  <c r="D60" i="27"/>
  <c r="E60" i="27"/>
  <c r="E61" i="27"/>
  <c r="E62" i="27"/>
  <c r="E65" i="27"/>
  <c r="E63" i="27" s="1"/>
  <c r="E66" i="27"/>
  <c r="C73" i="27"/>
  <c r="E73" i="27"/>
  <c r="E75" i="27"/>
  <c r="E76" i="27"/>
  <c r="E78" i="27"/>
  <c r="E80" i="27"/>
  <c r="E81" i="27"/>
  <c r="E82" i="27"/>
  <c r="E83" i="27"/>
  <c r="E84" i="27"/>
  <c r="E86" i="27"/>
  <c r="E89" i="27"/>
  <c r="E90" i="27"/>
  <c r="E94" i="27"/>
  <c r="E92" i="27" s="1"/>
  <c r="C96" i="27"/>
  <c r="E96" i="27"/>
  <c r="E98" i="27"/>
  <c r="E99" i="27"/>
  <c r="E106" i="27"/>
  <c r="E107" i="27"/>
  <c r="E109" i="27"/>
  <c r="E110" i="27"/>
  <c r="E113" i="27"/>
  <c r="E111" i="27" s="1"/>
  <c r="E114" i="27"/>
  <c r="E116" i="27"/>
  <c r="E117" i="27"/>
  <c r="E118" i="27"/>
  <c r="E119" i="27"/>
  <c r="E120" i="27"/>
  <c r="E121" i="27"/>
  <c r="E122" i="27"/>
  <c r="E124" i="27"/>
  <c r="E127" i="27"/>
  <c r="E130" i="27"/>
  <c r="E131" i="27"/>
  <c r="E132" i="27"/>
  <c r="D133" i="27"/>
  <c r="E135" i="27"/>
  <c r="E136" i="27"/>
  <c r="E137" i="27"/>
  <c r="E145" i="27"/>
  <c r="E151" i="27"/>
  <c r="E152" i="27"/>
  <c r="E155" i="27"/>
  <c r="E156" i="27"/>
  <c r="E157" i="27"/>
  <c r="E158" i="27"/>
  <c r="E159" i="27"/>
  <c r="D162" i="27"/>
  <c r="E162" i="27"/>
  <c r="E164" i="27"/>
  <c r="E165" i="27"/>
  <c r="E166" i="27"/>
  <c r="E167" i="27"/>
  <c r="F9" i="24"/>
  <c r="E10" i="24"/>
  <c r="F10" i="24"/>
  <c r="F11" i="24"/>
  <c r="F12" i="24"/>
  <c r="F13" i="24"/>
  <c r="F14" i="24"/>
  <c r="F15" i="24"/>
  <c r="F16" i="24"/>
  <c r="E17" i="24"/>
  <c r="F17" i="24"/>
  <c r="F18" i="24"/>
  <c r="F19" i="24"/>
  <c r="F20" i="24"/>
  <c r="F21" i="24"/>
  <c r="F22" i="24"/>
  <c r="E24" i="24"/>
  <c r="F24" i="24"/>
  <c r="F25" i="24"/>
  <c r="F26" i="24"/>
  <c r="F27" i="24"/>
  <c r="F28" i="24"/>
  <c r="F29" i="24"/>
  <c r="F31" i="24"/>
  <c r="F34" i="24"/>
  <c r="F35" i="24"/>
  <c r="F36" i="24"/>
  <c r="E37" i="24"/>
  <c r="E32" i="24" s="1"/>
  <c r="F39" i="24"/>
  <c r="E40" i="24"/>
  <c r="F40" i="24"/>
  <c r="F41" i="24"/>
  <c r="F44" i="24"/>
  <c r="F45" i="24"/>
  <c r="C47" i="24"/>
  <c r="E47" i="24"/>
  <c r="F47" i="24"/>
  <c r="F48" i="24"/>
  <c r="F49" i="24"/>
  <c r="F50" i="24"/>
  <c r="F51" i="24"/>
  <c r="E52" i="24"/>
  <c r="F52" i="24"/>
  <c r="F53" i="24"/>
  <c r="F54" i="24"/>
  <c r="F55" i="24"/>
  <c r="F56" i="24"/>
  <c r="F57" i="24"/>
  <c r="F58" i="24"/>
  <c r="E59" i="24"/>
  <c r="F59" i="24"/>
  <c r="F60" i="24"/>
  <c r="F61" i="24"/>
  <c r="F62" i="24"/>
  <c r="F63" i="24"/>
  <c r="F64" i="24"/>
  <c r="F65" i="24"/>
  <c r="E66" i="24"/>
  <c r="F66" i="24"/>
  <c r="F67" i="24"/>
  <c r="F68" i="24"/>
  <c r="F69" i="24"/>
  <c r="F70" i="24"/>
  <c r="F71" i="24"/>
  <c r="F72" i="24"/>
  <c r="F73" i="24"/>
  <c r="F74" i="24"/>
  <c r="E75" i="24"/>
  <c r="F75" i="24"/>
  <c r="F76" i="24"/>
  <c r="F77" i="24"/>
  <c r="F78" i="24"/>
  <c r="D79" i="24"/>
  <c r="F79" i="24"/>
  <c r="F80" i="24"/>
  <c r="F81" i="24"/>
  <c r="C82" i="24"/>
  <c r="F82" i="24"/>
  <c r="F83" i="24"/>
  <c r="E84" i="24"/>
  <c r="F84" i="24"/>
  <c r="F85" i="24"/>
  <c r="F86" i="24"/>
  <c r="D87" i="24"/>
  <c r="F87" i="24"/>
  <c r="F88" i="24"/>
  <c r="F89" i="24"/>
  <c r="E90" i="24"/>
  <c r="F90" i="24"/>
  <c r="F91" i="24"/>
  <c r="F92" i="24"/>
  <c r="F93" i="24"/>
  <c r="E95" i="24"/>
  <c r="F95" i="24"/>
  <c r="F96" i="24"/>
  <c r="F97" i="24"/>
  <c r="F98" i="24"/>
  <c r="F99" i="24"/>
  <c r="E100" i="24"/>
  <c r="F100" i="24"/>
  <c r="F101" i="24"/>
  <c r="F102" i="24"/>
  <c r="F103" i="24"/>
  <c r="F104" i="24"/>
  <c r="F105" i="24"/>
  <c r="F106" i="24"/>
  <c r="F107" i="24"/>
  <c r="F108" i="24"/>
  <c r="F109" i="24"/>
  <c r="F110" i="24"/>
  <c r="E111" i="24"/>
  <c r="F111" i="24"/>
  <c r="F112" i="24"/>
  <c r="F113" i="24"/>
  <c r="F114" i="24"/>
  <c r="F115" i="24"/>
  <c r="F116" i="24"/>
  <c r="E117" i="24"/>
  <c r="F117" i="24"/>
  <c r="F118" i="24"/>
  <c r="F119" i="24"/>
  <c r="F120" i="24"/>
  <c r="F121" i="24"/>
  <c r="D122" i="24"/>
  <c r="F122" i="24"/>
  <c r="F123" i="24"/>
  <c r="F124" i="24"/>
  <c r="F125" i="24"/>
  <c r="E126" i="24"/>
  <c r="F126" i="24"/>
  <c r="F127" i="24"/>
  <c r="F128" i="24"/>
  <c r="F129" i="24"/>
  <c r="F130" i="24"/>
  <c r="F131" i="24"/>
  <c r="E133" i="24"/>
  <c r="F133" i="24"/>
  <c r="F134" i="24"/>
  <c r="F135" i="24"/>
  <c r="F136" i="24"/>
  <c r="C137" i="24"/>
  <c r="F137" i="24"/>
  <c r="F138" i="24"/>
  <c r="F139" i="24"/>
  <c r="E140" i="24"/>
  <c r="F140" i="24"/>
  <c r="F141" i="24"/>
  <c r="F142" i="24"/>
  <c r="F143" i="24"/>
  <c r="F144" i="24"/>
  <c r="F145" i="24"/>
  <c r="D146" i="24"/>
  <c r="F146" i="24"/>
  <c r="F147" i="24"/>
  <c r="F148" i="24"/>
  <c r="E149" i="24"/>
  <c r="F149" i="24"/>
  <c r="F150" i="24"/>
  <c r="F151" i="24"/>
  <c r="F152" i="24"/>
  <c r="E153" i="24"/>
  <c r="F153" i="24"/>
  <c r="F154" i="24"/>
  <c r="F155" i="24"/>
  <c r="F156" i="24"/>
  <c r="F157" i="24"/>
  <c r="F158" i="24"/>
  <c r="E159" i="24"/>
  <c r="F159" i="24"/>
  <c r="F160" i="24"/>
  <c r="C161" i="24"/>
  <c r="F161" i="24"/>
  <c r="F162" i="24"/>
  <c r="F163" i="24"/>
  <c r="F164" i="24"/>
  <c r="F165" i="24"/>
  <c r="D166" i="24"/>
  <c r="F166" i="24"/>
  <c r="F167" i="24"/>
  <c r="F168" i="24"/>
  <c r="F169" i="24"/>
  <c r="E170" i="24"/>
  <c r="F170" i="24"/>
  <c r="F171" i="24"/>
  <c r="F172" i="24"/>
  <c r="F173" i="24"/>
  <c r="F174" i="24"/>
  <c r="F175" i="24"/>
  <c r="E176" i="24"/>
  <c r="F176" i="24"/>
  <c r="F177" i="24"/>
  <c r="F178" i="24"/>
  <c r="F179" i="24"/>
  <c r="F180" i="24"/>
  <c r="F181" i="24"/>
  <c r="F182" i="24"/>
  <c r="F183" i="24"/>
  <c r="F184" i="24"/>
  <c r="F185" i="24"/>
  <c r="E186" i="24"/>
  <c r="F186" i="24"/>
  <c r="F187" i="24"/>
  <c r="F188" i="24"/>
  <c r="E190" i="24"/>
  <c r="F190" i="24"/>
  <c r="F191" i="24"/>
  <c r="F192" i="24"/>
  <c r="F193" i="24"/>
  <c r="F194" i="24"/>
  <c r="F195" i="24"/>
  <c r="F197" i="24"/>
  <c r="E198" i="24"/>
  <c r="F198" i="24"/>
  <c r="F199" i="24"/>
  <c r="F200" i="24"/>
  <c r="F201" i="24"/>
  <c r="F202" i="24"/>
  <c r="F203" i="24"/>
  <c r="F204" i="24"/>
  <c r="F205" i="24"/>
  <c r="D206" i="24"/>
  <c r="F206" i="24"/>
  <c r="F207" i="24"/>
  <c r="E208" i="24"/>
  <c r="F208" i="24"/>
  <c r="F209" i="24"/>
  <c r="D210" i="24"/>
  <c r="F210" i="24"/>
  <c r="F211" i="24"/>
  <c r="F212" i="24"/>
  <c r="F213" i="24"/>
  <c r="F214" i="24"/>
  <c r="F215" i="24"/>
  <c r="F216" i="24"/>
  <c r="F217" i="24"/>
  <c r="E218" i="24"/>
  <c r="F218" i="24"/>
  <c r="F219" i="24"/>
  <c r="F220" i="24"/>
  <c r="D221" i="24"/>
  <c r="F221" i="24"/>
  <c r="F222" i="24"/>
  <c r="E223" i="24"/>
  <c r="F223" i="24"/>
  <c r="F224" i="24"/>
  <c r="F225" i="24"/>
  <c r="C226" i="24"/>
  <c r="F226" i="24"/>
  <c r="F227" i="24"/>
  <c r="F228" i="24"/>
  <c r="F229" i="24"/>
  <c r="F230" i="24"/>
  <c r="D231" i="24"/>
  <c r="F231" i="24"/>
  <c r="F232" i="24"/>
  <c r="E233" i="24"/>
  <c r="F233" i="24"/>
  <c r="F234" i="24"/>
  <c r="D235" i="24"/>
  <c r="F235" i="24"/>
  <c r="F236" i="24"/>
  <c r="F237" i="24"/>
  <c r="F238" i="24"/>
  <c r="F239" i="24"/>
  <c r="F240" i="24"/>
  <c r="F241" i="24"/>
  <c r="F242" i="24"/>
  <c r="E243" i="24"/>
  <c r="F243" i="24"/>
  <c r="F244" i="24"/>
  <c r="F245" i="24"/>
  <c r="F246" i="24"/>
  <c r="F247" i="24"/>
  <c r="E248" i="24"/>
  <c r="F248" i="24"/>
  <c r="F249" i="24"/>
  <c r="F250" i="24"/>
  <c r="D251" i="24"/>
  <c r="F251" i="24"/>
  <c r="F252" i="24"/>
  <c r="F253" i="24"/>
  <c r="F254" i="24"/>
  <c r="E255" i="24"/>
  <c r="F255" i="24"/>
  <c r="F256" i="24"/>
  <c r="F257" i="24"/>
  <c r="F258" i="24"/>
  <c r="F259" i="24"/>
  <c r="C260" i="24"/>
  <c r="F260" i="24"/>
  <c r="F261" i="24"/>
  <c r="F262" i="24"/>
  <c r="F263" i="24"/>
  <c r="C264" i="24"/>
  <c r="F264" i="24"/>
  <c r="F265" i="24"/>
  <c r="E266" i="24"/>
  <c r="F266" i="24"/>
  <c r="F267" i="24"/>
  <c r="F268" i="24"/>
  <c r="D269" i="24"/>
  <c r="F269" i="24"/>
  <c r="F270" i="24"/>
  <c r="F271" i="24"/>
  <c r="E272" i="24"/>
  <c r="F272" i="24"/>
  <c r="D273" i="24"/>
  <c r="F273" i="24"/>
  <c r="F274" i="24"/>
  <c r="F275" i="24"/>
  <c r="F276" i="24"/>
  <c r="D277" i="24"/>
  <c r="F277" i="24"/>
  <c r="F278" i="24"/>
  <c r="F279" i="24"/>
  <c r="E280" i="24"/>
  <c r="F280" i="24"/>
  <c r="D281" i="24"/>
  <c r="F281" i="24"/>
  <c r="F282" i="24"/>
  <c r="F283" i="24"/>
  <c r="F284" i="24"/>
  <c r="D285" i="24"/>
  <c r="F285" i="24"/>
  <c r="E286" i="24"/>
  <c r="F286" i="24"/>
  <c r="F287" i="24"/>
  <c r="C288" i="24"/>
  <c r="E289" i="24"/>
  <c r="F289" i="24"/>
  <c r="F290" i="24"/>
  <c r="F291" i="24"/>
  <c r="F292" i="24"/>
  <c r="E293" i="24"/>
  <c r="F293" i="24"/>
  <c r="F294" i="24"/>
  <c r="F295" i="24"/>
  <c r="F296" i="24"/>
  <c r="F297" i="24"/>
  <c r="E298" i="24"/>
  <c r="F298" i="24"/>
  <c r="F299" i="24"/>
  <c r="F300" i="24"/>
  <c r="F301" i="24"/>
  <c r="F302" i="24"/>
  <c r="F303" i="24"/>
  <c r="F304" i="24"/>
  <c r="F305" i="24"/>
  <c r="F306" i="24"/>
  <c r="E307" i="24"/>
  <c r="F307" i="24"/>
  <c r="F308" i="24"/>
  <c r="F309" i="24"/>
  <c r="E310" i="24"/>
  <c r="F310" i="24"/>
  <c r="D311" i="24"/>
  <c r="F311" i="24"/>
  <c r="F312" i="24"/>
  <c r="F313" i="24"/>
  <c r="F314" i="24"/>
  <c r="D315" i="24"/>
  <c r="F315" i="24"/>
  <c r="E316" i="24"/>
  <c r="F316" i="24"/>
  <c r="F317" i="24"/>
  <c r="F318" i="24"/>
  <c r="E319" i="24"/>
  <c r="F319" i="24"/>
  <c r="F320" i="24"/>
  <c r="F321" i="24"/>
  <c r="F322" i="24"/>
  <c r="F323" i="24"/>
  <c r="E324" i="24"/>
  <c r="F324" i="24"/>
  <c r="F325" i="24"/>
  <c r="F326" i="24"/>
  <c r="F327" i="24"/>
  <c r="F328" i="24"/>
  <c r="C329" i="24"/>
  <c r="E330" i="24"/>
  <c r="F330" i="24"/>
  <c r="F331" i="24"/>
  <c r="F332" i="24"/>
  <c r="F333" i="24"/>
  <c r="D334" i="24"/>
  <c r="F334" i="24"/>
  <c r="F335" i="24"/>
  <c r="F336" i="24"/>
  <c r="F337" i="24"/>
  <c r="D338" i="24"/>
  <c r="F338" i="24"/>
  <c r="C339" i="24"/>
  <c r="F340" i="24"/>
  <c r="F341" i="24"/>
  <c r="F342" i="24"/>
  <c r="C343" i="24"/>
  <c r="F344" i="24"/>
  <c r="E345" i="24"/>
  <c r="E340" i="24" s="1"/>
  <c r="F345" i="24"/>
  <c r="D346" i="24"/>
  <c r="D345" i="24" s="1"/>
  <c r="F346" i="24"/>
  <c r="D347" i="24"/>
  <c r="F347" i="24"/>
  <c r="E9" i="25"/>
  <c r="F10" i="25"/>
  <c r="G10" i="25"/>
  <c r="H10" i="25"/>
  <c r="I10" i="25"/>
  <c r="J10" i="25"/>
  <c r="K10" i="25"/>
  <c r="L10" i="25"/>
  <c r="M11" i="25"/>
  <c r="M10" i="25" s="1"/>
  <c r="M12" i="25"/>
  <c r="M13" i="25"/>
  <c r="M14" i="25"/>
  <c r="M15" i="25"/>
  <c r="M16" i="25"/>
  <c r="M17" i="25"/>
  <c r="M18" i="25"/>
  <c r="M19" i="25"/>
  <c r="M20" i="25"/>
  <c r="M21" i="25"/>
  <c r="M22" i="25"/>
  <c r="M23" i="25"/>
  <c r="M24" i="25"/>
  <c r="M25" i="25"/>
  <c r="M26" i="25"/>
  <c r="M27" i="25"/>
  <c r="M28" i="25"/>
  <c r="M29" i="25"/>
  <c r="M30" i="25"/>
  <c r="M31" i="25"/>
  <c r="X51" i="23"/>
  <c r="Y53" i="23"/>
  <c r="Y54" i="23"/>
  <c r="E35" i="27"/>
  <c r="E43" i="27"/>
  <c r="E49" i="27"/>
  <c r="E74" i="27"/>
  <c r="E85" i="27"/>
  <c r="E88" i="27"/>
  <c r="E97" i="27"/>
  <c r="E115" i="27"/>
  <c r="E126" i="27"/>
  <c r="J193" i="3"/>
  <c r="E154" i="27"/>
  <c r="E163" i="27"/>
  <c r="C39" i="10"/>
  <c r="C41" i="10"/>
  <c r="D41" i="10" s="1"/>
  <c r="P17" i="14"/>
  <c r="E19" i="14"/>
  <c r="D19" i="24"/>
  <c r="D20" i="24"/>
  <c r="D21" i="24"/>
  <c r="F26" i="14"/>
  <c r="P31" i="14"/>
  <c r="Q31" i="14" s="1"/>
  <c r="D33" i="24"/>
  <c r="D34" i="24"/>
  <c r="D35" i="24"/>
  <c r="D43" i="24"/>
  <c r="D44" i="24"/>
  <c r="D45" i="24"/>
  <c r="Q48" i="14"/>
  <c r="D46" i="24" s="1"/>
  <c r="D47" i="24"/>
  <c r="D48" i="24"/>
  <c r="D52" i="24"/>
  <c r="D54" i="24"/>
  <c r="D55" i="24"/>
  <c r="Q60" i="14"/>
  <c r="D61" i="24"/>
  <c r="D48" i="27"/>
  <c r="D50" i="27"/>
  <c r="D70" i="24"/>
  <c r="D71" i="24"/>
  <c r="D72" i="24"/>
  <c r="Q76" i="14"/>
  <c r="D74" i="24" s="1"/>
  <c r="D80" i="24"/>
  <c r="D81" i="24"/>
  <c r="Q85" i="14"/>
  <c r="D88" i="24"/>
  <c r="D92" i="24"/>
  <c r="D93" i="24"/>
  <c r="D73" i="27"/>
  <c r="Q96" i="14"/>
  <c r="D97" i="24"/>
  <c r="D98" i="24"/>
  <c r="D79" i="27"/>
  <c r="D103" i="24"/>
  <c r="D109" i="24"/>
  <c r="Q112" i="14"/>
  <c r="D112" i="24"/>
  <c r="D113" i="24"/>
  <c r="D114" i="24"/>
  <c r="D116" i="24"/>
  <c r="Q118" i="14"/>
  <c r="D88" i="27" s="1"/>
  <c r="D118" i="24"/>
  <c r="D119" i="24"/>
  <c r="D120" i="24"/>
  <c r="D121" i="24"/>
  <c r="D89" i="27"/>
  <c r="D123" i="24"/>
  <c r="D128" i="24"/>
  <c r="D129" i="24"/>
  <c r="D131" i="24"/>
  <c r="Q134" i="14"/>
  <c r="D97" i="27" s="1"/>
  <c r="D134" i="24"/>
  <c r="D137" i="24"/>
  <c r="D138" i="24"/>
  <c r="D139" i="24"/>
  <c r="Q141" i="14"/>
  <c r="D104" i="27"/>
  <c r="D108" i="27"/>
  <c r="D112" i="27"/>
  <c r="D152" i="24"/>
  <c r="Q154" i="14"/>
  <c r="D153" i="24" s="1"/>
  <c r="D154" i="24"/>
  <c r="D155" i="24"/>
  <c r="D156" i="24"/>
  <c r="D157" i="24"/>
  <c r="Q160" i="14"/>
  <c r="D161" i="24"/>
  <c r="D162" i="24"/>
  <c r="Q171" i="14"/>
  <c r="D170" i="24" s="1"/>
  <c r="D171" i="24"/>
  <c r="D172" i="24"/>
  <c r="D173" i="24"/>
  <c r="D174" i="24"/>
  <c r="D177" i="24"/>
  <c r="D178" i="24"/>
  <c r="D179" i="24"/>
  <c r="D180" i="24"/>
  <c r="D181" i="24"/>
  <c r="D183" i="24"/>
  <c r="D184" i="24"/>
  <c r="D185" i="24"/>
  <c r="Q187" i="14"/>
  <c r="D186" i="24" s="1"/>
  <c r="D187" i="24"/>
  <c r="D188" i="24"/>
  <c r="D189" i="24"/>
  <c r="Q191" i="14"/>
  <c r="D190" i="24" s="1"/>
  <c r="D191" i="24"/>
  <c r="D192" i="24"/>
  <c r="D193" i="24"/>
  <c r="D194" i="24"/>
  <c r="D195" i="24"/>
  <c r="D196" i="24"/>
  <c r="Q199" i="14"/>
  <c r="D198" i="24" s="1"/>
  <c r="D199" i="24"/>
  <c r="D200" i="24"/>
  <c r="D201" i="24"/>
  <c r="D202" i="24"/>
  <c r="D203" i="24"/>
  <c r="D204" i="24"/>
  <c r="D205" i="24"/>
  <c r="D207" i="24"/>
  <c r="D209" i="24"/>
  <c r="D211" i="24"/>
  <c r="D212" i="24"/>
  <c r="D213" i="24"/>
  <c r="D214" i="24"/>
  <c r="D215" i="24"/>
  <c r="D216" i="24"/>
  <c r="D217" i="24"/>
  <c r="Q219" i="14"/>
  <c r="D218" i="24" s="1"/>
  <c r="D219" i="24"/>
  <c r="D220" i="24"/>
  <c r="D127" i="27"/>
  <c r="D227" i="24"/>
  <c r="D229" i="24"/>
  <c r="D136" i="27"/>
  <c r="D232" i="24"/>
  <c r="Q234" i="14"/>
  <c r="D234" i="24"/>
  <c r="D144" i="27"/>
  <c r="D236" i="24"/>
  <c r="D237" i="24"/>
  <c r="D238" i="24"/>
  <c r="D239" i="24"/>
  <c r="D240" i="24"/>
  <c r="D241" i="24"/>
  <c r="D145" i="27"/>
  <c r="Q244" i="14"/>
  <c r="D245" i="24"/>
  <c r="D246" i="24"/>
  <c r="Q249" i="14"/>
  <c r="D248" i="24" s="1"/>
  <c r="D249" i="24"/>
  <c r="D250" i="24"/>
  <c r="D252" i="24"/>
  <c r="D155" i="27"/>
  <c r="D156" i="27"/>
  <c r="D260" i="24"/>
  <c r="D261" i="24"/>
  <c r="D262" i="24"/>
  <c r="D263" i="24"/>
  <c r="D264" i="24"/>
  <c r="Q267" i="14"/>
  <c r="D267" i="24"/>
  <c r="D268" i="24"/>
  <c r="D271" i="24"/>
  <c r="Q273" i="14"/>
  <c r="D164" i="27"/>
  <c r="D274" i="24"/>
  <c r="D276" i="24"/>
  <c r="D167" i="27"/>
  <c r="D278" i="24"/>
  <c r="D279" i="24"/>
  <c r="Q281" i="14"/>
  <c r="D280" i="24" s="1"/>
  <c r="D282" i="24"/>
  <c r="D283" i="24"/>
  <c r="D284" i="24"/>
  <c r="Q287" i="14"/>
  <c r="D286" i="24" s="1"/>
  <c r="D287" i="24"/>
  <c r="D288" i="24"/>
  <c r="Q290" i="14"/>
  <c r="D289" i="24" s="1"/>
  <c r="D290" i="24"/>
  <c r="D291" i="24"/>
  <c r="D292" i="24"/>
  <c r="Q294" i="14"/>
  <c r="D293" i="24" s="1"/>
  <c r="D294" i="24"/>
  <c r="D295" i="24"/>
  <c r="D296" i="24"/>
  <c r="Q299" i="14"/>
  <c r="D298" i="24" s="1"/>
  <c r="D299" i="24"/>
  <c r="D300" i="24"/>
  <c r="D301" i="24"/>
  <c r="D302" i="24"/>
  <c r="D303" i="24"/>
  <c r="D304" i="24"/>
  <c r="D305" i="24"/>
  <c r="D306" i="24"/>
  <c r="D308" i="24"/>
  <c r="D309" i="24"/>
  <c r="Q311" i="14"/>
  <c r="D310" i="24" s="1"/>
  <c r="D312" i="24"/>
  <c r="D313" i="24"/>
  <c r="D314" i="24"/>
  <c r="Q317" i="14"/>
  <c r="D316" i="24" s="1"/>
  <c r="D317" i="24"/>
  <c r="D318" i="24"/>
  <c r="Q320" i="14"/>
  <c r="D319" i="24" s="1"/>
  <c r="D320" i="24"/>
  <c r="D321" i="24"/>
  <c r="D322" i="24"/>
  <c r="D325" i="24"/>
  <c r="D326" i="24"/>
  <c r="D327" i="24"/>
  <c r="D328" i="24"/>
  <c r="D329" i="24"/>
  <c r="Q331" i="14"/>
  <c r="D170" i="27" s="1"/>
  <c r="D331" i="24"/>
  <c r="D332" i="24"/>
  <c r="D333" i="24"/>
  <c r="D335" i="24"/>
  <c r="D337" i="24"/>
  <c r="D339" i="24"/>
  <c r="D341" i="24"/>
  <c r="D342" i="24"/>
  <c r="D343" i="24"/>
  <c r="Q345" i="14"/>
  <c r="C28" i="10" s="1"/>
  <c r="E10" i="13"/>
  <c r="C12" i="27"/>
  <c r="C16" i="27"/>
  <c r="D17" i="13"/>
  <c r="E17" i="13"/>
  <c r="C19" i="24"/>
  <c r="C20" i="24"/>
  <c r="C21" i="24"/>
  <c r="J92" i="3"/>
  <c r="E27" i="13"/>
  <c r="E24" i="13" s="1"/>
  <c r="C28" i="27"/>
  <c r="F28" i="27" s="1"/>
  <c r="E37" i="13"/>
  <c r="E32" i="13" s="1"/>
  <c r="C33" i="27"/>
  <c r="F33" i="27" s="1"/>
  <c r="E40" i="13"/>
  <c r="C35" i="27"/>
  <c r="C47" i="13"/>
  <c r="D47" i="13"/>
  <c r="E47" i="13"/>
  <c r="C38" i="27"/>
  <c r="C52" i="13"/>
  <c r="D52" i="13"/>
  <c r="E52" i="13"/>
  <c r="C53" i="24"/>
  <c r="C55" i="24"/>
  <c r="C56" i="24"/>
  <c r="C57" i="24"/>
  <c r="C42" i="27"/>
  <c r="E59" i="13"/>
  <c r="C59" i="13"/>
  <c r="D62" i="13"/>
  <c r="C46" i="27"/>
  <c r="D64" i="13"/>
  <c r="F64" i="13" s="1"/>
  <c r="C48" i="27"/>
  <c r="C66" i="13"/>
  <c r="D66" i="13"/>
  <c r="E66" i="13"/>
  <c r="C70" i="24"/>
  <c r="C71" i="24"/>
  <c r="C72" i="24"/>
  <c r="C73" i="24"/>
  <c r="C54" i="27"/>
  <c r="C75" i="13"/>
  <c r="E75" i="13"/>
  <c r="C79" i="24"/>
  <c r="C80" i="24"/>
  <c r="D75" i="13"/>
  <c r="C61" i="27"/>
  <c r="C62" i="27"/>
  <c r="C84" i="13"/>
  <c r="D84" i="13"/>
  <c r="E84" i="13"/>
  <c r="C87" i="24"/>
  <c r="C88" i="24"/>
  <c r="C66" i="27"/>
  <c r="E90" i="13"/>
  <c r="C90" i="13"/>
  <c r="C92" i="24"/>
  <c r="C93" i="24"/>
  <c r="C95" i="13"/>
  <c r="D95" i="13"/>
  <c r="E95" i="13"/>
  <c r="C97" i="24"/>
  <c r="C98" i="24"/>
  <c r="C76" i="27"/>
  <c r="C100" i="13"/>
  <c r="F100" i="13" s="1"/>
  <c r="C77" i="27" s="1"/>
  <c r="D100" i="13"/>
  <c r="E100" i="13"/>
  <c r="C78" i="27"/>
  <c r="C103" i="24"/>
  <c r="C81" i="27"/>
  <c r="C106" i="24"/>
  <c r="C109" i="24"/>
  <c r="C84" i="27"/>
  <c r="C111" i="13"/>
  <c r="D111" i="13"/>
  <c r="E111" i="13"/>
  <c r="C112" i="24"/>
  <c r="C113" i="24"/>
  <c r="C114" i="24"/>
  <c r="C117" i="13"/>
  <c r="D117" i="13"/>
  <c r="E117" i="13"/>
  <c r="C118" i="24"/>
  <c r="C119" i="24"/>
  <c r="C120" i="24"/>
  <c r="C121" i="24"/>
  <c r="C123" i="24"/>
  <c r="C90" i="27"/>
  <c r="C126" i="13"/>
  <c r="D126" i="13"/>
  <c r="E126" i="13"/>
  <c r="C128" i="24"/>
  <c r="C129" i="24"/>
  <c r="C131" i="24"/>
  <c r="C133" i="13"/>
  <c r="D133" i="13"/>
  <c r="E133" i="13"/>
  <c r="C134" i="24"/>
  <c r="C138" i="24"/>
  <c r="C140" i="13"/>
  <c r="D140" i="13"/>
  <c r="E140" i="13"/>
  <c r="C110" i="27"/>
  <c r="C149" i="13"/>
  <c r="D149" i="13"/>
  <c r="E149" i="13"/>
  <c r="C153" i="13"/>
  <c r="D153" i="13"/>
  <c r="E153" i="13"/>
  <c r="C154" i="24"/>
  <c r="C155" i="24"/>
  <c r="C156" i="24"/>
  <c r="C157" i="24"/>
  <c r="C114" i="27"/>
  <c r="C159" i="13"/>
  <c r="D159" i="13"/>
  <c r="E159" i="13"/>
  <c r="C120" i="27"/>
  <c r="C166" i="24"/>
  <c r="C122" i="27"/>
  <c r="C170" i="13"/>
  <c r="D170" i="13"/>
  <c r="E170" i="13"/>
  <c r="C171" i="24"/>
  <c r="C172" i="24"/>
  <c r="C173" i="24"/>
  <c r="C174" i="24"/>
  <c r="C124" i="27"/>
  <c r="D176" i="13"/>
  <c r="E176" i="13"/>
  <c r="C177" i="24"/>
  <c r="C178" i="24"/>
  <c r="C179" i="24"/>
  <c r="C180" i="24"/>
  <c r="C181" i="24"/>
  <c r="C176" i="13"/>
  <c r="C183" i="24"/>
  <c r="C184" i="24"/>
  <c r="C186" i="13"/>
  <c r="D186" i="13"/>
  <c r="E186" i="13"/>
  <c r="C187" i="24"/>
  <c r="C188" i="24"/>
  <c r="C190" i="13"/>
  <c r="D190" i="13"/>
  <c r="E190" i="13"/>
  <c r="C191" i="24"/>
  <c r="C192" i="24"/>
  <c r="C193" i="24"/>
  <c r="C194" i="24"/>
  <c r="C195" i="24"/>
  <c r="C198" i="13"/>
  <c r="D198" i="13"/>
  <c r="E198" i="13"/>
  <c r="C199" i="24"/>
  <c r="C200" i="24"/>
  <c r="C201" i="24"/>
  <c r="C202" i="24"/>
  <c r="C203" i="24"/>
  <c r="C204" i="24"/>
  <c r="C205" i="24"/>
  <c r="C206" i="24"/>
  <c r="C208" i="13"/>
  <c r="D208" i="13"/>
  <c r="E208" i="13"/>
  <c r="C209" i="24"/>
  <c r="C210" i="24"/>
  <c r="C211" i="24"/>
  <c r="C212" i="24"/>
  <c r="C213" i="24"/>
  <c r="C214" i="24"/>
  <c r="C215" i="24"/>
  <c r="C216" i="24"/>
  <c r="C218" i="13"/>
  <c r="D218" i="13"/>
  <c r="E218" i="13"/>
  <c r="C219" i="24"/>
  <c r="C218" i="24" s="1"/>
  <c r="C220" i="24"/>
  <c r="C127" i="27"/>
  <c r="C223" i="13"/>
  <c r="E223" i="13"/>
  <c r="C132" i="27"/>
  <c r="C229" i="24"/>
  <c r="C135" i="27"/>
  <c r="C137" i="27"/>
  <c r="C233" i="13"/>
  <c r="D233" i="13"/>
  <c r="E233" i="13"/>
  <c r="C234" i="24"/>
  <c r="C236" i="24"/>
  <c r="C237" i="24"/>
  <c r="C238" i="24"/>
  <c r="C239" i="24"/>
  <c r="C240" i="24"/>
  <c r="C241" i="24"/>
  <c r="C145" i="27"/>
  <c r="C243" i="13"/>
  <c r="D243" i="13"/>
  <c r="E243" i="13"/>
  <c r="C245" i="24"/>
  <c r="C246" i="24"/>
  <c r="C151" i="27"/>
  <c r="C248" i="13"/>
  <c r="D248" i="13"/>
  <c r="E248" i="13"/>
  <c r="C249" i="24"/>
  <c r="C250" i="24"/>
  <c r="C251" i="24"/>
  <c r="C252" i="24"/>
  <c r="C152" i="27"/>
  <c r="C255" i="13"/>
  <c r="D255" i="13"/>
  <c r="C261" i="24"/>
  <c r="C262" i="24"/>
  <c r="C263" i="24"/>
  <c r="C159" i="27"/>
  <c r="C266" i="13"/>
  <c r="F266" i="13" s="1"/>
  <c r="C160" i="27" s="1"/>
  <c r="D266" i="13"/>
  <c r="E266" i="13"/>
  <c r="C267" i="24"/>
  <c r="C268" i="24"/>
  <c r="C269" i="24"/>
  <c r="C162" i="27"/>
  <c r="C272" i="13"/>
  <c r="D272" i="13"/>
  <c r="C274" i="24"/>
  <c r="E275" i="13"/>
  <c r="C278" i="24"/>
  <c r="C280" i="13"/>
  <c r="D280" i="13"/>
  <c r="E280" i="13"/>
  <c r="C281" i="24"/>
  <c r="C282" i="24"/>
  <c r="C283" i="24"/>
  <c r="C284" i="24"/>
  <c r="C285" i="24"/>
  <c r="C286" i="13"/>
  <c r="D286" i="13"/>
  <c r="E286" i="13"/>
  <c r="C287" i="24"/>
  <c r="C289" i="13"/>
  <c r="F289" i="13" s="1"/>
  <c r="C289" i="24" s="1"/>
  <c r="D289" i="13"/>
  <c r="E289" i="13"/>
  <c r="C290" i="24"/>
  <c r="C291" i="24"/>
  <c r="C292" i="24"/>
  <c r="C293" i="13"/>
  <c r="D293" i="13"/>
  <c r="E293" i="13"/>
  <c r="C294" i="24"/>
  <c r="C295" i="24"/>
  <c r="C296" i="24"/>
  <c r="C298" i="13"/>
  <c r="F298" i="13" s="1"/>
  <c r="C298" i="24" s="1"/>
  <c r="D298" i="13"/>
  <c r="E298" i="13"/>
  <c r="C299" i="24"/>
  <c r="C300" i="24"/>
  <c r="C301" i="24"/>
  <c r="C302" i="24"/>
  <c r="C303" i="24"/>
  <c r="C304" i="24"/>
  <c r="C305" i="24"/>
  <c r="C306" i="24"/>
  <c r="C307" i="13"/>
  <c r="D307" i="13"/>
  <c r="E307" i="13"/>
  <c r="C308" i="24"/>
  <c r="C309" i="24"/>
  <c r="C310" i="13"/>
  <c r="D310" i="13"/>
  <c r="E310" i="13"/>
  <c r="C311" i="24"/>
  <c r="C312" i="24"/>
  <c r="C313" i="24"/>
  <c r="C314" i="24"/>
  <c r="C315" i="24"/>
  <c r="C316" i="13"/>
  <c r="D316" i="13"/>
  <c r="E316" i="13"/>
  <c r="C317" i="24"/>
  <c r="C318" i="24"/>
  <c r="C319" i="13"/>
  <c r="D319" i="13"/>
  <c r="E319" i="13"/>
  <c r="C320" i="24"/>
  <c r="C321" i="24"/>
  <c r="C322" i="24"/>
  <c r="C324" i="13"/>
  <c r="D324" i="13"/>
  <c r="E324" i="13"/>
  <c r="C325" i="24"/>
  <c r="C326" i="24"/>
  <c r="C327" i="24"/>
  <c r="C328" i="24"/>
  <c r="D330" i="13"/>
  <c r="E330" i="13"/>
  <c r="C331" i="24"/>
  <c r="C332" i="24"/>
  <c r="C333" i="24"/>
  <c r="C334" i="24"/>
  <c r="C335" i="24"/>
  <c r="J309" i="3"/>
  <c r="C337" i="24"/>
  <c r="C338" i="24"/>
  <c r="C341" i="24"/>
  <c r="C342" i="24"/>
  <c r="C344" i="24"/>
  <c r="D345" i="13"/>
  <c r="D340" i="13" s="1"/>
  <c r="E345" i="13"/>
  <c r="E340" i="13" s="1"/>
  <c r="C346" i="24"/>
  <c r="C41" i="1"/>
  <c r="C42" i="1"/>
  <c r="C45" i="1"/>
  <c r="C51" i="1"/>
  <c r="C64" i="1"/>
  <c r="C70" i="1"/>
  <c r="C87" i="1"/>
  <c r="C362" i="3"/>
  <c r="J362" i="3" s="1"/>
  <c r="M362" i="3" s="1"/>
  <c r="C89" i="1"/>
  <c r="C11" i="1"/>
  <c r="C13" i="2"/>
  <c r="C15" i="2"/>
  <c r="C22" i="2"/>
  <c r="C20" i="2" s="1"/>
  <c r="C27" i="2"/>
  <c r="C32" i="2"/>
  <c r="C31" i="2" s="1"/>
  <c r="C39" i="2"/>
  <c r="C45" i="2"/>
  <c r="C50" i="2"/>
  <c r="C66" i="2"/>
  <c r="C64" i="2" s="1"/>
  <c r="C77" i="2"/>
  <c r="C80" i="2"/>
  <c r="C79" i="2" s="1"/>
  <c r="C84" i="2"/>
  <c r="C83" i="2" s="1"/>
  <c r="C82" i="2" s="1"/>
  <c r="C86" i="2"/>
  <c r="C94" i="2"/>
  <c r="C96" i="2"/>
  <c r="C101" i="2"/>
  <c r="C100" i="2" s="1"/>
  <c r="C99" i="2" s="1"/>
  <c r="K98" i="3"/>
  <c r="K100" i="3"/>
  <c r="J308" i="3"/>
  <c r="E125" i="27"/>
  <c r="C330" i="13"/>
  <c r="E170" i="27"/>
  <c r="E169" i="27"/>
  <c r="E171" i="27"/>
  <c r="D18" i="26"/>
  <c r="P30" i="14" l="1"/>
  <c r="P29" i="14" s="1"/>
  <c r="P26" i="14" s="1"/>
  <c r="E14" i="7"/>
  <c r="E257" i="13" s="1"/>
  <c r="F257" i="13" s="1"/>
  <c r="C257" i="24" s="1"/>
  <c r="E12" i="7"/>
  <c r="F324" i="13"/>
  <c r="C324" i="24" s="1"/>
  <c r="F307" i="13"/>
  <c r="C307" i="24" s="1"/>
  <c r="F198" i="13"/>
  <c r="F190" i="13"/>
  <c r="F153" i="13"/>
  <c r="F149" i="13"/>
  <c r="C111" i="27" s="1"/>
  <c r="F117" i="13"/>
  <c r="C88" i="27" s="1"/>
  <c r="F88" i="27" s="1"/>
  <c r="D222" i="13"/>
  <c r="F176" i="13"/>
  <c r="C125" i="27" s="1"/>
  <c r="F140" i="13"/>
  <c r="C102" i="27" s="1"/>
  <c r="D297" i="13"/>
  <c r="K86" i="3"/>
  <c r="F73" i="27"/>
  <c r="F48" i="27"/>
  <c r="C49" i="1"/>
  <c r="R4" i="14"/>
  <c r="F316" i="13"/>
  <c r="C316" i="24" s="1"/>
  <c r="F286" i="13"/>
  <c r="C286" i="24" s="1"/>
  <c r="F233" i="13"/>
  <c r="C142" i="27" s="1"/>
  <c r="F330" i="13"/>
  <c r="C170" i="27" s="1"/>
  <c r="F170" i="27" s="1"/>
  <c r="E323" i="13"/>
  <c r="F310" i="13"/>
  <c r="C310" i="24" s="1"/>
  <c r="E297" i="13"/>
  <c r="F280" i="13"/>
  <c r="C280" i="24" s="1"/>
  <c r="F248" i="13"/>
  <c r="E222" i="13"/>
  <c r="F218" i="13"/>
  <c r="E197" i="13"/>
  <c r="C186" i="24"/>
  <c r="D169" i="13"/>
  <c r="E222" i="24"/>
  <c r="E102" i="27"/>
  <c r="E91" i="27" s="1"/>
  <c r="F293" i="13"/>
  <c r="C293" i="24" s="1"/>
  <c r="D254" i="13"/>
  <c r="F243" i="13"/>
  <c r="C146" i="27" s="1"/>
  <c r="F208" i="13"/>
  <c r="F186" i="13"/>
  <c r="F133" i="13"/>
  <c r="C97" i="27" s="1"/>
  <c r="F95" i="13"/>
  <c r="C74" i="27" s="1"/>
  <c r="D59" i="13"/>
  <c r="F62" i="13"/>
  <c r="C62" i="24" s="1"/>
  <c r="E197" i="24"/>
  <c r="D323" i="13"/>
  <c r="C297" i="13"/>
  <c r="F297" i="13" s="1"/>
  <c r="F319" i="13"/>
  <c r="C319" i="24" s="1"/>
  <c r="D197" i="13"/>
  <c r="F170" i="13"/>
  <c r="F111" i="13"/>
  <c r="C85" i="27" s="1"/>
  <c r="F52" i="13"/>
  <c r="F47" i="13"/>
  <c r="E9" i="13"/>
  <c r="E169" i="24"/>
  <c r="E55" i="27"/>
  <c r="E125" i="24"/>
  <c r="K228" i="3"/>
  <c r="K211" i="3"/>
  <c r="C9" i="28"/>
  <c r="X10" i="23"/>
  <c r="C76" i="2"/>
  <c r="C75" i="2" s="1"/>
  <c r="F77" i="2"/>
  <c r="Q19" i="14"/>
  <c r="D17" i="24" s="1"/>
  <c r="F159" i="13"/>
  <c r="C115" i="27" s="1"/>
  <c r="I40" i="14"/>
  <c r="Q198" i="14"/>
  <c r="Q209" i="14"/>
  <c r="D208" i="24" s="1"/>
  <c r="Q324" i="14"/>
  <c r="D169" i="27" s="1"/>
  <c r="Q325" i="14"/>
  <c r="D324" i="24" s="1"/>
  <c r="Q298" i="14"/>
  <c r="C17" i="26" s="1"/>
  <c r="Q308" i="14"/>
  <c r="D307" i="24" s="1"/>
  <c r="Q256" i="14"/>
  <c r="D154" i="27" s="1"/>
  <c r="Q341" i="14"/>
  <c r="C19" i="26" s="1"/>
  <c r="Q223" i="14"/>
  <c r="D128" i="27" s="1"/>
  <c r="Q224" i="14"/>
  <c r="D223" i="24" s="1"/>
  <c r="Q150" i="14"/>
  <c r="D111" i="27" s="1"/>
  <c r="F111" i="27" s="1"/>
  <c r="Q105" i="14"/>
  <c r="D104" i="24" s="1"/>
  <c r="E26" i="14"/>
  <c r="Q67" i="14"/>
  <c r="D49" i="27" s="1"/>
  <c r="Q170" i="14"/>
  <c r="Q177" i="14"/>
  <c r="D176" i="24" s="1"/>
  <c r="D43" i="27"/>
  <c r="D197" i="24"/>
  <c r="I33" i="14"/>
  <c r="C40" i="1"/>
  <c r="C49" i="2"/>
  <c r="C38" i="1" s="1"/>
  <c r="Q255" i="14"/>
  <c r="D254" i="24" s="1"/>
  <c r="F66" i="13"/>
  <c r="C49" i="27" s="1"/>
  <c r="F75" i="13"/>
  <c r="C55" i="27" s="1"/>
  <c r="F84" i="13"/>
  <c r="C63" i="27" s="1"/>
  <c r="F126" i="13"/>
  <c r="C92" i="27" s="1"/>
  <c r="E272" i="13"/>
  <c r="F272" i="13" s="1"/>
  <c r="C163" i="27" s="1"/>
  <c r="F275" i="13"/>
  <c r="C275" i="24" s="1"/>
  <c r="C316" i="3"/>
  <c r="J316" i="3" s="1"/>
  <c r="P12" i="14"/>
  <c r="E40" i="27"/>
  <c r="F127" i="27"/>
  <c r="F145" i="27"/>
  <c r="C222" i="13"/>
  <c r="I82" i="28"/>
  <c r="C28" i="1"/>
  <c r="Y51" i="23"/>
  <c r="E77" i="27"/>
  <c r="D18" i="6"/>
  <c r="B15" i="18"/>
  <c r="B19" i="18" s="1"/>
  <c r="F59" i="13"/>
  <c r="C43" i="27" s="1"/>
  <c r="C51" i="13"/>
  <c r="F223" i="13"/>
  <c r="C129" i="27" s="1"/>
  <c r="C345" i="13"/>
  <c r="F347" i="13"/>
  <c r="C347" i="24" s="1"/>
  <c r="C48" i="1"/>
  <c r="J194" i="3"/>
  <c r="O158" i="3" s="1"/>
  <c r="O161" i="3" s="1"/>
  <c r="C323" i="13"/>
  <c r="F323" i="13" s="1"/>
  <c r="C169" i="27" s="1"/>
  <c r="K309" i="3"/>
  <c r="K310" i="3" s="1"/>
  <c r="F97" i="27"/>
  <c r="C153" i="24"/>
  <c r="C248" i="24"/>
  <c r="C198" i="24"/>
  <c r="C190" i="24"/>
  <c r="C170" i="24"/>
  <c r="C208" i="24"/>
  <c r="F162" i="27"/>
  <c r="C29" i="24"/>
  <c r="C26" i="27"/>
  <c r="L193" i="3"/>
  <c r="C31" i="1"/>
  <c r="C38" i="2"/>
  <c r="C182" i="24"/>
  <c r="C176" i="24" s="1"/>
  <c r="C169" i="24" s="1"/>
  <c r="C126" i="27"/>
  <c r="C119" i="27"/>
  <c r="C164" i="24"/>
  <c r="C116" i="27"/>
  <c r="C160" i="24"/>
  <c r="C99" i="27"/>
  <c r="C136" i="24"/>
  <c r="C94" i="27"/>
  <c r="C130" i="24"/>
  <c r="C52" i="27"/>
  <c r="C69" i="24"/>
  <c r="C47" i="27"/>
  <c r="C64" i="24"/>
  <c r="E11" i="6"/>
  <c r="E9" i="30"/>
  <c r="C9" i="3"/>
  <c r="F10" i="8"/>
  <c r="C86" i="1"/>
  <c r="C85" i="1" s="1"/>
  <c r="C84" i="1" s="1"/>
  <c r="C10" i="1"/>
  <c r="C161" i="27"/>
  <c r="C270" i="24"/>
  <c r="C266" i="24" s="1"/>
  <c r="C131" i="27"/>
  <c r="C225" i="24"/>
  <c r="E125" i="13"/>
  <c r="C86" i="27"/>
  <c r="C115" i="24"/>
  <c r="C111" i="24" s="1"/>
  <c r="C79" i="27"/>
  <c r="F79" i="27" s="1"/>
  <c r="C102" i="24"/>
  <c r="C65" i="27"/>
  <c r="C86" i="24"/>
  <c r="C58" i="27"/>
  <c r="C78" i="24"/>
  <c r="E51" i="13"/>
  <c r="C17" i="8"/>
  <c r="D39" i="10"/>
  <c r="C36" i="10"/>
  <c r="C167" i="27"/>
  <c r="F167" i="27" s="1"/>
  <c r="C277" i="24"/>
  <c r="C254" i="13"/>
  <c r="C112" i="27"/>
  <c r="F112" i="27" s="1"/>
  <c r="C150" i="24"/>
  <c r="C107" i="27"/>
  <c r="C145" i="24"/>
  <c r="C36" i="1"/>
  <c r="C44" i="2"/>
  <c r="C171" i="27"/>
  <c r="C336" i="24"/>
  <c r="C134" i="27"/>
  <c r="C228" i="24"/>
  <c r="C130" i="27"/>
  <c r="C224" i="24"/>
  <c r="C197" i="13"/>
  <c r="C169" i="13"/>
  <c r="D125" i="13"/>
  <c r="C41" i="27"/>
  <c r="C54" i="24"/>
  <c r="C14" i="27"/>
  <c r="C14" i="24"/>
  <c r="C18" i="1"/>
  <c r="E169" i="13"/>
  <c r="C103" i="27"/>
  <c r="C141" i="24"/>
  <c r="C93" i="2"/>
  <c r="C92" i="2" s="1"/>
  <c r="C25" i="1"/>
  <c r="C25" i="2"/>
  <c r="C18" i="2" s="1"/>
  <c r="C17" i="2" s="1"/>
  <c r="C77" i="28"/>
  <c r="I77" i="28" s="1"/>
  <c r="C69" i="1"/>
  <c r="C68" i="1" s="1"/>
  <c r="C67" i="1" s="1"/>
  <c r="C125" i="13"/>
  <c r="D171" i="27"/>
  <c r="D336" i="24"/>
  <c r="C26" i="10"/>
  <c r="D163" i="27"/>
  <c r="D147" i="27"/>
  <c r="D244" i="24"/>
  <c r="D134" i="27"/>
  <c r="D228" i="24"/>
  <c r="D130" i="27"/>
  <c r="D224" i="24"/>
  <c r="D122" i="27"/>
  <c r="F122" i="27" s="1"/>
  <c r="D168" i="24"/>
  <c r="D119" i="27"/>
  <c r="D164" i="24"/>
  <c r="D116" i="27"/>
  <c r="D160" i="24"/>
  <c r="D107" i="27"/>
  <c r="D145" i="24"/>
  <c r="D94" i="27"/>
  <c r="D130" i="24"/>
  <c r="D81" i="27"/>
  <c r="F81" i="27" s="1"/>
  <c r="D105" i="24"/>
  <c r="D63" i="27"/>
  <c r="D84" i="24"/>
  <c r="D56" i="27"/>
  <c r="D76" i="24"/>
  <c r="D51" i="27"/>
  <c r="D68" i="24"/>
  <c r="D45" i="27"/>
  <c r="D60" i="24"/>
  <c r="D32" i="27"/>
  <c r="F32" i="27" s="1"/>
  <c r="D37" i="24"/>
  <c r="D26" i="27"/>
  <c r="D29" i="24"/>
  <c r="E323" i="24"/>
  <c r="D64" i="24"/>
  <c r="D166" i="27"/>
  <c r="F166" i="27" s="1"/>
  <c r="C136" i="27"/>
  <c r="F136" i="27" s="1"/>
  <c r="C231" i="24"/>
  <c r="C133" i="27"/>
  <c r="C227" i="24"/>
  <c r="C121" i="27"/>
  <c r="C167" i="24"/>
  <c r="C118" i="27"/>
  <c r="C163" i="24"/>
  <c r="C106" i="27"/>
  <c r="C144" i="24"/>
  <c r="C98" i="27"/>
  <c r="C135" i="24"/>
  <c r="C96" i="24"/>
  <c r="C95" i="24" s="1"/>
  <c r="C75" i="27"/>
  <c r="C64" i="27"/>
  <c r="C85" i="24"/>
  <c r="C60" i="27"/>
  <c r="F60" i="27" s="1"/>
  <c r="C81" i="24"/>
  <c r="C57" i="27"/>
  <c r="C77" i="24"/>
  <c r="C51" i="27"/>
  <c r="C68" i="24"/>
  <c r="C45" i="27"/>
  <c r="C61" i="24"/>
  <c r="D275" i="24"/>
  <c r="D165" i="27"/>
  <c r="D158" i="27"/>
  <c r="D259" i="24"/>
  <c r="D151" i="27"/>
  <c r="F151" i="27" s="1"/>
  <c r="D247" i="24"/>
  <c r="D146" i="27"/>
  <c r="D243" i="24"/>
  <c r="D124" i="27"/>
  <c r="F124" i="27" s="1"/>
  <c r="D175" i="24"/>
  <c r="D121" i="27"/>
  <c r="D167" i="24"/>
  <c r="D118" i="27"/>
  <c r="D163" i="24"/>
  <c r="D115" i="27"/>
  <c r="D159" i="24"/>
  <c r="D113" i="27"/>
  <c r="D151" i="24"/>
  <c r="D110" i="27"/>
  <c r="F110" i="27" s="1"/>
  <c r="D148" i="24"/>
  <c r="D106" i="27"/>
  <c r="D144" i="24"/>
  <c r="D103" i="27"/>
  <c r="D141" i="24"/>
  <c r="D124" i="24"/>
  <c r="D90" i="27"/>
  <c r="F90" i="27" s="1"/>
  <c r="D108" i="24"/>
  <c r="D83" i="27"/>
  <c r="D78" i="27"/>
  <c r="F78" i="27" s="1"/>
  <c r="D101" i="24"/>
  <c r="D62" i="27"/>
  <c r="F62" i="27" s="1"/>
  <c r="D83" i="24"/>
  <c r="D55" i="27"/>
  <c r="D75" i="24"/>
  <c r="D47" i="27"/>
  <c r="D63" i="24"/>
  <c r="D42" i="27"/>
  <c r="F42" i="27" s="1"/>
  <c r="D57" i="24"/>
  <c r="D41" i="27"/>
  <c r="D53" i="24"/>
  <c r="D16" i="27"/>
  <c r="F16" i="27" s="1"/>
  <c r="D16" i="24"/>
  <c r="D14" i="24"/>
  <c r="D14" i="27"/>
  <c r="D330" i="24"/>
  <c r="E297" i="24"/>
  <c r="D257" i="24"/>
  <c r="D150" i="24"/>
  <c r="D117" i="24"/>
  <c r="C101" i="24"/>
  <c r="D94" i="24"/>
  <c r="D58" i="24"/>
  <c r="D117" i="27"/>
  <c r="C170" i="3"/>
  <c r="C53" i="28"/>
  <c r="C83" i="3"/>
  <c r="J83" i="3" s="1"/>
  <c r="L83" i="3" s="1"/>
  <c r="C29" i="28"/>
  <c r="I29" i="28" s="1"/>
  <c r="C79" i="3"/>
  <c r="J79" i="3" s="1"/>
  <c r="L79" i="3" s="1"/>
  <c r="C23" i="28"/>
  <c r="I23" i="28" s="1"/>
  <c r="E13" i="6"/>
  <c r="C10" i="2"/>
  <c r="C82" i="1"/>
  <c r="C273" i="24"/>
  <c r="C164" i="27"/>
  <c r="F164" i="27" s="1"/>
  <c r="C147" i="27"/>
  <c r="C244" i="24"/>
  <c r="C243" i="24" s="1"/>
  <c r="C144" i="27"/>
  <c r="C235" i="24"/>
  <c r="C233" i="24" s="1"/>
  <c r="C117" i="27"/>
  <c r="C162" i="24"/>
  <c r="C109" i="27"/>
  <c r="C147" i="24"/>
  <c r="C105" i="27"/>
  <c r="C143" i="24"/>
  <c r="C89" i="27"/>
  <c r="F89" i="27" s="1"/>
  <c r="C122" i="24"/>
  <c r="C117" i="24" s="1"/>
  <c r="C83" i="27"/>
  <c r="C108" i="24"/>
  <c r="C80" i="27"/>
  <c r="C104" i="24"/>
  <c r="C56" i="27"/>
  <c r="C76" i="24"/>
  <c r="C50" i="27"/>
  <c r="F50" i="27" s="1"/>
  <c r="C67" i="24"/>
  <c r="C44" i="27"/>
  <c r="C60" i="24"/>
  <c r="C40" i="27"/>
  <c r="C52" i="24"/>
  <c r="C19" i="27"/>
  <c r="C22" i="24"/>
  <c r="D161" i="27"/>
  <c r="D270" i="24"/>
  <c r="D160" i="27"/>
  <c r="F160" i="27" s="1"/>
  <c r="D266" i="24"/>
  <c r="D258" i="24"/>
  <c r="D157" i="27"/>
  <c r="D230" i="24"/>
  <c r="D135" i="27"/>
  <c r="F135" i="27" s="1"/>
  <c r="D132" i="27"/>
  <c r="F132" i="27" s="1"/>
  <c r="D226" i="24"/>
  <c r="D126" i="27"/>
  <c r="D182" i="24"/>
  <c r="D114" i="27"/>
  <c r="F114" i="27" s="1"/>
  <c r="D158" i="24"/>
  <c r="D109" i="27"/>
  <c r="D147" i="24"/>
  <c r="D140" i="24"/>
  <c r="D102" i="27"/>
  <c r="D99" i="27"/>
  <c r="D136" i="24"/>
  <c r="D132" i="24"/>
  <c r="D96" i="27"/>
  <c r="F96" i="27" s="1"/>
  <c r="D86" i="27"/>
  <c r="D115" i="24"/>
  <c r="D85" i="27"/>
  <c r="D111" i="24"/>
  <c r="D82" i="27"/>
  <c r="D107" i="24"/>
  <c r="D75" i="27"/>
  <c r="D96" i="24"/>
  <c r="D65" i="27"/>
  <c r="D86" i="24"/>
  <c r="D61" i="27"/>
  <c r="F61" i="27" s="1"/>
  <c r="D82" i="24"/>
  <c r="D58" i="27"/>
  <c r="D78" i="24"/>
  <c r="D54" i="27"/>
  <c r="F54" i="27" s="1"/>
  <c r="D73" i="24"/>
  <c r="D46" i="27"/>
  <c r="F46" i="27" s="1"/>
  <c r="D62" i="24"/>
  <c r="D20" i="27"/>
  <c r="F20" i="27" s="1"/>
  <c r="D23" i="24"/>
  <c r="D12" i="27"/>
  <c r="F12" i="27" s="1"/>
  <c r="D12" i="24"/>
  <c r="E254" i="24"/>
  <c r="D242" i="24"/>
  <c r="C230" i="24"/>
  <c r="C165" i="24"/>
  <c r="D142" i="24"/>
  <c r="D67" i="24"/>
  <c r="C63" i="24"/>
  <c r="C113" i="27"/>
  <c r="C151" i="24"/>
  <c r="C149" i="24" s="1"/>
  <c r="C108" i="27"/>
  <c r="F108" i="27" s="1"/>
  <c r="C146" i="24"/>
  <c r="C104" i="27"/>
  <c r="F104" i="27" s="1"/>
  <c r="C142" i="24"/>
  <c r="C93" i="27"/>
  <c r="C127" i="24"/>
  <c r="C82" i="27"/>
  <c r="C107" i="24"/>
  <c r="C18" i="27"/>
  <c r="C18" i="24"/>
  <c r="C17" i="13"/>
  <c r="F17" i="13" s="1"/>
  <c r="C17" i="27" s="1"/>
  <c r="D297" i="24"/>
  <c r="D159" i="27"/>
  <c r="F159" i="27" s="1"/>
  <c r="D265" i="24"/>
  <c r="D152" i="27"/>
  <c r="F152" i="27" s="1"/>
  <c r="D253" i="24"/>
  <c r="D142" i="27"/>
  <c r="D233" i="24"/>
  <c r="D131" i="27"/>
  <c r="D225" i="24"/>
  <c r="D120" i="27"/>
  <c r="F120" i="27" s="1"/>
  <c r="D165" i="24"/>
  <c r="D105" i="27"/>
  <c r="D143" i="24"/>
  <c r="D98" i="27"/>
  <c r="D135" i="24"/>
  <c r="D84" i="27"/>
  <c r="F84" i="27" s="1"/>
  <c r="D110" i="24"/>
  <c r="D76" i="27"/>
  <c r="F76" i="27" s="1"/>
  <c r="D99" i="24"/>
  <c r="D74" i="27"/>
  <c r="F74" i="27" s="1"/>
  <c r="D95" i="24"/>
  <c r="D66" i="27"/>
  <c r="D89" i="24"/>
  <c r="D64" i="27"/>
  <c r="D85" i="24"/>
  <c r="D57" i="27"/>
  <c r="D77" i="24"/>
  <c r="D52" i="27"/>
  <c r="D69" i="24"/>
  <c r="D44" i="27"/>
  <c r="D59" i="24"/>
  <c r="D38" i="27"/>
  <c r="F38" i="27" s="1"/>
  <c r="D49" i="24"/>
  <c r="D35" i="27"/>
  <c r="F35" i="27" s="1"/>
  <c r="D39" i="24"/>
  <c r="D27" i="27"/>
  <c r="F27" i="27" s="1"/>
  <c r="D30" i="24"/>
  <c r="D19" i="27"/>
  <c r="D22" i="24"/>
  <c r="D18" i="24"/>
  <c r="D18" i="27"/>
  <c r="J357" i="3"/>
  <c r="E133" i="27"/>
  <c r="E129" i="27" s="1"/>
  <c r="C276" i="24"/>
  <c r="D272" i="24"/>
  <c r="D256" i="24"/>
  <c r="D133" i="24"/>
  <c r="C105" i="24"/>
  <c r="D102" i="24"/>
  <c r="E51" i="24"/>
  <c r="E9" i="24"/>
  <c r="L249" i="3"/>
  <c r="K248" i="3"/>
  <c r="K251" i="3" s="1"/>
  <c r="D80" i="27" l="1"/>
  <c r="D125" i="27"/>
  <c r="C43" i="2"/>
  <c r="P42" i="14"/>
  <c r="P43" i="14"/>
  <c r="P40" i="14" s="1"/>
  <c r="P44" i="14"/>
  <c r="P92" i="14"/>
  <c r="P91" i="14" s="1"/>
  <c r="P52" i="14" s="1"/>
  <c r="P38" i="14"/>
  <c r="P34" i="14"/>
  <c r="D169" i="24"/>
  <c r="C13" i="26"/>
  <c r="E13" i="26" s="1"/>
  <c r="E144" i="27"/>
  <c r="E142" i="27" s="1"/>
  <c r="Y10" i="23"/>
  <c r="Z10" i="23" s="1"/>
  <c r="F125" i="27"/>
  <c r="E8" i="24"/>
  <c r="F197" i="13"/>
  <c r="C197" i="24"/>
  <c r="F222" i="13"/>
  <c r="C12" i="10" s="1"/>
  <c r="F85" i="27"/>
  <c r="D15" i="26"/>
  <c r="F144" i="27"/>
  <c r="R5" i="14"/>
  <c r="R6" i="14" s="1"/>
  <c r="D255" i="24"/>
  <c r="F163" i="27"/>
  <c r="C27" i="10"/>
  <c r="C330" i="24"/>
  <c r="F169" i="13"/>
  <c r="C10" i="10" s="1"/>
  <c r="C297" i="24"/>
  <c r="B17" i="26"/>
  <c r="C153" i="3"/>
  <c r="K153" i="3" s="1"/>
  <c r="K157" i="3" s="1"/>
  <c r="F63" i="27"/>
  <c r="J359" i="3"/>
  <c r="D17" i="27"/>
  <c r="F50" i="2"/>
  <c r="F110" i="2" s="1"/>
  <c r="C89" i="3"/>
  <c r="K89" i="3" s="1"/>
  <c r="K316" i="3"/>
  <c r="I11" i="14"/>
  <c r="I10" i="14" s="1"/>
  <c r="C47" i="28"/>
  <c r="I47" i="28" s="1"/>
  <c r="D129" i="27"/>
  <c r="F129" i="27" s="1"/>
  <c r="F115" i="27"/>
  <c r="C126" i="24"/>
  <c r="F55" i="27"/>
  <c r="C24" i="10"/>
  <c r="F33" i="14"/>
  <c r="F49" i="27"/>
  <c r="E33" i="14"/>
  <c r="D123" i="27"/>
  <c r="D340" i="24"/>
  <c r="C18" i="26"/>
  <c r="E18" i="26" s="1"/>
  <c r="D149" i="24"/>
  <c r="D323" i="24"/>
  <c r="F117" i="27"/>
  <c r="F43" i="27"/>
  <c r="E40" i="14"/>
  <c r="E11" i="14" s="1"/>
  <c r="F40" i="14"/>
  <c r="C16" i="26"/>
  <c r="C27" i="1"/>
  <c r="C35" i="28" s="1"/>
  <c r="F113" i="27"/>
  <c r="C25" i="10"/>
  <c r="F169" i="27"/>
  <c r="C66" i="24"/>
  <c r="D153" i="27"/>
  <c r="C165" i="27"/>
  <c r="F102" i="27"/>
  <c r="B18" i="26"/>
  <c r="C14" i="10"/>
  <c r="C323" i="24"/>
  <c r="P33" i="14"/>
  <c r="D222" i="24"/>
  <c r="C15" i="26"/>
  <c r="F82" i="27"/>
  <c r="F80" i="27"/>
  <c r="F125" i="13"/>
  <c r="C9" i="10" s="1"/>
  <c r="C133" i="24"/>
  <c r="C42" i="2"/>
  <c r="C41" i="2" s="1"/>
  <c r="C98" i="2"/>
  <c r="F51" i="27"/>
  <c r="C123" i="27"/>
  <c r="E16" i="6"/>
  <c r="E18" i="6" s="1"/>
  <c r="L194" i="3"/>
  <c r="K172" i="3"/>
  <c r="C84" i="24"/>
  <c r="C340" i="13"/>
  <c r="F340" i="13" s="1"/>
  <c r="F345" i="13"/>
  <c r="E127" i="14"/>
  <c r="Q127" i="14" s="1"/>
  <c r="C156" i="27"/>
  <c r="F156" i="27" s="1"/>
  <c r="B13" i="26"/>
  <c r="C59" i="24"/>
  <c r="C75" i="24"/>
  <c r="C272" i="24"/>
  <c r="C223" i="24"/>
  <c r="C222" i="24" s="1"/>
  <c r="C17" i="24"/>
  <c r="C100" i="24"/>
  <c r="C140" i="24"/>
  <c r="C159" i="24"/>
  <c r="F83" i="27"/>
  <c r="D66" i="24"/>
  <c r="F106" i="27"/>
  <c r="F165" i="27"/>
  <c r="K317" i="3"/>
  <c r="I54" i="28"/>
  <c r="F107" i="27"/>
  <c r="F86" i="27"/>
  <c r="F131" i="27"/>
  <c r="F126" i="27"/>
  <c r="F44" i="27"/>
  <c r="F56" i="27"/>
  <c r="F105" i="27"/>
  <c r="C88" i="28"/>
  <c r="K170" i="3"/>
  <c r="K190" i="3"/>
  <c r="K195" i="3" s="1"/>
  <c r="F45" i="27"/>
  <c r="F57" i="27"/>
  <c r="F64" i="27"/>
  <c r="F98" i="27"/>
  <c r="F118" i="27"/>
  <c r="F103" i="27"/>
  <c r="F14" i="27"/>
  <c r="F130" i="27"/>
  <c r="F171" i="27"/>
  <c r="F58" i="27"/>
  <c r="F47" i="27"/>
  <c r="F94" i="27"/>
  <c r="F116" i="27"/>
  <c r="C9" i="2"/>
  <c r="F75" i="27"/>
  <c r="F161" i="27"/>
  <c r="K9" i="3"/>
  <c r="J9" i="3"/>
  <c r="D16" i="26"/>
  <c r="F19" i="27"/>
  <c r="F109" i="27"/>
  <c r="F121" i="27"/>
  <c r="F133" i="27"/>
  <c r="D13" i="26"/>
  <c r="C37" i="10"/>
  <c r="E123" i="27"/>
  <c r="C31" i="28"/>
  <c r="C23" i="1"/>
  <c r="C16" i="1" s="1"/>
  <c r="F41" i="27"/>
  <c r="F134" i="27"/>
  <c r="C42" i="28"/>
  <c r="C102" i="3"/>
  <c r="C35" i="1"/>
  <c r="F65" i="27"/>
  <c r="C80" i="1"/>
  <c r="C79" i="1" s="1"/>
  <c r="E256" i="13"/>
  <c r="F256" i="13" s="1"/>
  <c r="L368" i="3"/>
  <c r="F52" i="27"/>
  <c r="F99" i="27"/>
  <c r="F119" i="27"/>
  <c r="C30" i="1"/>
  <c r="C33" i="1" l="1"/>
  <c r="C32" i="1" s="1"/>
  <c r="C34" i="1"/>
  <c r="E15" i="26"/>
  <c r="F142" i="27"/>
  <c r="E128" i="27"/>
  <c r="I7" i="14"/>
  <c r="I13" i="28" s="1"/>
  <c r="C18" i="8"/>
  <c r="P11" i="14"/>
  <c r="P10" i="14" s="1"/>
  <c r="B15" i="26"/>
  <c r="C11" i="10"/>
  <c r="B14" i="26"/>
  <c r="C128" i="27"/>
  <c r="D27" i="10"/>
  <c r="K163" i="3"/>
  <c r="K167" i="3" s="1"/>
  <c r="I35" i="28"/>
  <c r="K319" i="3"/>
  <c r="C15" i="1"/>
  <c r="C9" i="1" s="1"/>
  <c r="C8" i="1" s="1"/>
  <c r="C7" i="1" s="1"/>
  <c r="C111" i="2" s="1"/>
  <c r="F11" i="14"/>
  <c r="F10" i="14" s="1"/>
  <c r="F7" i="14" s="1"/>
  <c r="F123" i="27"/>
  <c r="B12" i="26"/>
  <c r="C91" i="27"/>
  <c r="C125" i="24"/>
  <c r="I53" i="28"/>
  <c r="I56" i="28" s="1"/>
  <c r="C8" i="2"/>
  <c r="C109" i="2" s="1"/>
  <c r="E19" i="7" s="1"/>
  <c r="K174" i="3"/>
  <c r="C345" i="24"/>
  <c r="C15" i="10"/>
  <c r="C340" i="24"/>
  <c r="B19" i="26"/>
  <c r="E126" i="14"/>
  <c r="Q126" i="14" s="1"/>
  <c r="C12" i="26" s="1"/>
  <c r="E12" i="26" s="1"/>
  <c r="D127" i="24"/>
  <c r="D93" i="27"/>
  <c r="F93" i="27" s="1"/>
  <c r="C155" i="27"/>
  <c r="F155" i="27" s="1"/>
  <c r="C256" i="24"/>
  <c r="K102" i="3"/>
  <c r="K104" i="3" s="1"/>
  <c r="K139" i="3"/>
  <c r="K150" i="3" s="1"/>
  <c r="C363" i="3"/>
  <c r="L9" i="3"/>
  <c r="N93" i="3"/>
  <c r="O90" i="3"/>
  <c r="N92" i="3"/>
  <c r="C13" i="8"/>
  <c r="E9" i="15" l="1"/>
  <c r="E22" i="7"/>
  <c r="C112" i="2"/>
  <c r="D13" i="1"/>
  <c r="D12" i="1"/>
  <c r="G47" i="25"/>
  <c r="D43" i="1"/>
  <c r="D81" i="1"/>
  <c r="D90" i="1"/>
  <c r="G8" i="27"/>
  <c r="H9" i="13"/>
  <c r="I42" i="28"/>
  <c r="E14" i="30"/>
  <c r="D92" i="1"/>
  <c r="D87" i="1"/>
  <c r="D28" i="1"/>
  <c r="D41" i="1"/>
  <c r="D82" i="1"/>
  <c r="D51" i="1"/>
  <c r="D25" i="1"/>
  <c r="E13" i="30"/>
  <c r="F8" i="8"/>
  <c r="D46" i="1"/>
  <c r="E11" i="30"/>
  <c r="E12" i="30" s="1"/>
  <c r="D77" i="1"/>
  <c r="D74" i="1"/>
  <c r="D65" i="1"/>
  <c r="D11" i="1"/>
  <c r="D38" i="1"/>
  <c r="D36" i="1"/>
  <c r="G8" i="26"/>
  <c r="D88" i="1"/>
  <c r="D42" i="1"/>
  <c r="D21" i="1"/>
  <c r="D70" i="1"/>
  <c r="D31" i="1"/>
  <c r="E10" i="14"/>
  <c r="D15" i="10"/>
  <c r="C19" i="8"/>
  <c r="D92" i="27"/>
  <c r="F92" i="27" s="1"/>
  <c r="D126" i="24"/>
  <c r="G112" i="2" l="1"/>
  <c r="G113" i="2" s="1"/>
  <c r="E258" i="13"/>
  <c r="F258" i="13" s="1"/>
  <c r="C157" i="27" s="1"/>
  <c r="F157" i="27" s="1"/>
  <c r="I44" i="28"/>
  <c r="E17" i="30"/>
  <c r="E21" i="7"/>
  <c r="E259" i="13" s="1"/>
  <c r="F259" i="13" s="1"/>
  <c r="C259" i="24" s="1"/>
  <c r="D91" i="27"/>
  <c r="F91" i="27" s="1"/>
  <c r="C23" i="10"/>
  <c r="C12" i="8" s="1"/>
  <c r="D125" i="24"/>
  <c r="E29" i="7" l="1"/>
  <c r="C258" i="24"/>
  <c r="C255" i="24" s="1"/>
  <c r="C254" i="24" s="1"/>
  <c r="E11" i="7"/>
  <c r="J11" i="3" s="1"/>
  <c r="E255" i="13"/>
  <c r="E254" i="13" s="1"/>
  <c r="C158" i="27"/>
  <c r="F158" i="27" s="1"/>
  <c r="I9" i="28" l="1"/>
  <c r="E10" i="7"/>
  <c r="F255" i="13"/>
  <c r="C154" i="27" s="1"/>
  <c r="F154" i="27" s="1"/>
  <c r="E8" i="13"/>
  <c r="F254" i="13"/>
  <c r="L11" i="3"/>
  <c r="L365" i="3" s="1"/>
  <c r="O12" i="3"/>
  <c r="O13" i="3" s="1"/>
  <c r="C153" i="27" l="1"/>
  <c r="B16" i="26"/>
  <c r="E16" i="26" s="1"/>
  <c r="C13" i="10"/>
  <c r="C16" i="8" l="1"/>
  <c r="F153" i="27"/>
  <c r="E23" i="27" l="1"/>
  <c r="L377" i="3" l="1"/>
  <c r="Y52" i="23" l="1"/>
  <c r="J97" i="3"/>
  <c r="L378" i="3" s="1"/>
  <c r="I88" i="28"/>
  <c r="C38" i="10" l="1"/>
  <c r="C15" i="8" s="1"/>
  <c r="I90" i="28"/>
  <c r="F147" i="27" l="1"/>
  <c r="E146" i="27"/>
  <c r="F146" i="27" l="1"/>
  <c r="F128" i="27" l="1"/>
  <c r="D106" i="24" l="1"/>
  <c r="O101" i="14"/>
  <c r="Q101" i="14" s="1"/>
  <c r="D100" i="24" l="1"/>
  <c r="D77" i="27"/>
  <c r="F77" i="27" s="1"/>
  <c r="E26" i="27" l="1"/>
  <c r="F26" i="27" s="1"/>
  <c r="E13" i="27" l="1"/>
  <c r="J29" i="3" l="1"/>
  <c r="C30" i="14" l="1"/>
  <c r="C29" i="14" s="1"/>
  <c r="C12" i="14"/>
  <c r="C34" i="14" l="1"/>
  <c r="C38" i="14"/>
  <c r="C92" i="14"/>
  <c r="C91" i="14" s="1"/>
  <c r="C26" i="14"/>
  <c r="C43" i="14"/>
  <c r="C42" i="14"/>
  <c r="C44" i="14"/>
  <c r="Q15" i="14"/>
  <c r="C33" i="14" l="1"/>
  <c r="C40" i="14"/>
  <c r="C11" i="14" s="1"/>
  <c r="D13" i="24"/>
  <c r="D13" i="27"/>
  <c r="C52" i="14"/>
  <c r="G7" i="14" l="1"/>
  <c r="C10" i="14"/>
  <c r="C7" i="14" s="1"/>
  <c r="I11" i="28" s="1"/>
  <c r="F13" i="13" l="1"/>
  <c r="J91" i="3"/>
  <c r="C13" i="27" l="1"/>
  <c r="F13" i="27" s="1"/>
  <c r="C13" i="24"/>
  <c r="J30" i="3" l="1"/>
  <c r="J59" i="3" l="1"/>
  <c r="H12" i="14" l="1"/>
  <c r="H27" i="14"/>
  <c r="K13" i="14"/>
  <c r="K27" i="14"/>
  <c r="H30" i="14" l="1"/>
  <c r="H43" i="14" s="1"/>
  <c r="O12" i="14"/>
  <c r="J58" i="3"/>
  <c r="D10" i="13"/>
  <c r="J14" i="3"/>
  <c r="K17" i="14"/>
  <c r="K12" i="14" s="1"/>
  <c r="H42" i="14" l="1"/>
  <c r="H29" i="14"/>
  <c r="H26" i="14" s="1"/>
  <c r="H44" i="14"/>
  <c r="O38" i="14"/>
  <c r="O34" i="14"/>
  <c r="H38" i="14"/>
  <c r="H92" i="14"/>
  <c r="H91" i="14" s="1"/>
  <c r="H52" i="14" s="1"/>
  <c r="H34" i="14"/>
  <c r="K30" i="14"/>
  <c r="Q28" i="14"/>
  <c r="J12" i="3"/>
  <c r="M12" i="14"/>
  <c r="J28" i="3"/>
  <c r="N12" i="14"/>
  <c r="J90" i="3"/>
  <c r="F15" i="13"/>
  <c r="H40" i="14" l="1"/>
  <c r="K43" i="14"/>
  <c r="K29" i="14"/>
  <c r="K34" i="14"/>
  <c r="K38" i="14"/>
  <c r="H33" i="14"/>
  <c r="M34" i="14"/>
  <c r="M38" i="14"/>
  <c r="N34" i="14"/>
  <c r="N38" i="14"/>
  <c r="K44" i="14"/>
  <c r="K42" i="14"/>
  <c r="K92" i="14"/>
  <c r="K91" i="14" s="1"/>
  <c r="K52" i="14" s="1"/>
  <c r="K26" i="14"/>
  <c r="H11" i="14"/>
  <c r="H10" i="14" s="1"/>
  <c r="H7" i="14" s="1"/>
  <c r="C15" i="24"/>
  <c r="C15" i="27"/>
  <c r="M91" i="14"/>
  <c r="M52" i="14" s="1"/>
  <c r="J15" i="3"/>
  <c r="J16" i="3"/>
  <c r="D26" i="24"/>
  <c r="D23" i="27"/>
  <c r="K33" i="14" l="1"/>
  <c r="I12" i="28"/>
  <c r="K40" i="14"/>
  <c r="K11" i="14" s="1"/>
  <c r="K10" i="14" s="1"/>
  <c r="K7" i="14" s="1"/>
  <c r="J70" i="3" s="1"/>
  <c r="J196" i="3" s="1"/>
  <c r="K199" i="3" s="1"/>
  <c r="K200" i="3" s="1"/>
  <c r="J19" i="3"/>
  <c r="L12" i="14"/>
  <c r="M26" i="14"/>
  <c r="J18" i="3"/>
  <c r="J61" i="3"/>
  <c r="J64" i="3"/>
  <c r="J62" i="3"/>
  <c r="J32" i="3"/>
  <c r="J33" i="3"/>
  <c r="J35" i="3"/>
  <c r="J20" i="3"/>
  <c r="L91" i="14"/>
  <c r="L52" i="14" s="1"/>
  <c r="E15" i="27"/>
  <c r="J324" i="3"/>
  <c r="L34" i="14" l="1"/>
  <c r="L38" i="14"/>
  <c r="L33" i="14" s="1"/>
  <c r="C71" i="28"/>
  <c r="C163" i="28" s="1"/>
  <c r="J36" i="3"/>
  <c r="K70" i="3"/>
  <c r="J37" i="3"/>
  <c r="J66" i="3"/>
  <c r="J17" i="3"/>
  <c r="M33" i="14"/>
  <c r="E11" i="27"/>
  <c r="E10" i="27" s="1"/>
  <c r="J322" i="3"/>
  <c r="Q13" i="14"/>
  <c r="N26" i="14"/>
  <c r="O91" i="14"/>
  <c r="O52" i="14" s="1"/>
  <c r="J68" i="3"/>
  <c r="O26" i="14"/>
  <c r="L26" i="14"/>
  <c r="D24" i="13"/>
  <c r="J44" i="3"/>
  <c r="N91" i="14"/>
  <c r="M40" i="14"/>
  <c r="I71" i="28" l="1"/>
  <c r="I73" i="28" s="1"/>
  <c r="E37" i="27"/>
  <c r="N40" i="14"/>
  <c r="L40" i="14"/>
  <c r="L11" i="14" s="1"/>
  <c r="L10" i="14" s="1"/>
  <c r="M11" i="14"/>
  <c r="M10" i="14" s="1"/>
  <c r="I15" i="28" s="1"/>
  <c r="D40" i="13"/>
  <c r="F40" i="13" s="1"/>
  <c r="D32" i="13"/>
  <c r="J326" i="3"/>
  <c r="E22" i="27"/>
  <c r="F91" i="13"/>
  <c r="D90" i="13"/>
  <c r="E31" i="27"/>
  <c r="J65" i="3"/>
  <c r="O40" i="14"/>
  <c r="J63" i="3"/>
  <c r="O33" i="14"/>
  <c r="E36" i="27"/>
  <c r="E24" i="27"/>
  <c r="D11" i="27"/>
  <c r="D11" i="24"/>
  <c r="Q17" i="14"/>
  <c r="J34" i="3"/>
  <c r="N33" i="14"/>
  <c r="E30" i="27"/>
  <c r="O19" i="3"/>
  <c r="K12" i="3"/>
  <c r="E34" i="27" l="1"/>
  <c r="L7" i="14"/>
  <c r="I14" i="28" s="1"/>
  <c r="C72" i="27"/>
  <c r="E25" i="27"/>
  <c r="E21" i="27" s="1"/>
  <c r="E72" i="27"/>
  <c r="E71" i="27" s="1"/>
  <c r="E39" i="27" s="1"/>
  <c r="D11" i="26"/>
  <c r="J342" i="3"/>
  <c r="N11" i="14"/>
  <c r="E29" i="27"/>
  <c r="K10" i="3"/>
  <c r="K11" i="3" s="1"/>
  <c r="D9" i="13"/>
  <c r="K14" i="3"/>
  <c r="O11" i="14"/>
  <c r="O10" i="14" s="1"/>
  <c r="I17" i="28" s="1"/>
  <c r="J330" i="3"/>
  <c r="F90" i="13"/>
  <c r="C71" i="27" s="1"/>
  <c r="D51" i="13"/>
  <c r="F51" i="13" s="1"/>
  <c r="Q12" i="14"/>
  <c r="J331" i="3"/>
  <c r="J329" i="3"/>
  <c r="J427" i="3"/>
  <c r="K30" i="3"/>
  <c r="J332" i="3"/>
  <c r="Q27" i="14"/>
  <c r="D15" i="27"/>
  <c r="F15" i="27" s="1"/>
  <c r="D15" i="24"/>
  <c r="D10" i="24" s="1"/>
  <c r="J327" i="3"/>
  <c r="K58" i="3"/>
  <c r="D10" i="27" l="1"/>
  <c r="Q30" i="14"/>
  <c r="Q29" i="14" s="1"/>
  <c r="D24" i="27" s="1"/>
  <c r="C35" i="10"/>
  <c r="D8" i="13"/>
  <c r="O69" i="3"/>
  <c r="K59" i="3"/>
  <c r="K323" i="3"/>
  <c r="K325" i="3" s="1"/>
  <c r="D25" i="24"/>
  <c r="D22" i="27"/>
  <c r="B11" i="26"/>
  <c r="C39" i="27"/>
  <c r="C8" i="10"/>
  <c r="D10" i="26"/>
  <c r="Q92" i="14"/>
  <c r="Q42" i="14" l="1"/>
  <c r="Q34" i="14"/>
  <c r="Q38" i="14"/>
  <c r="Q43" i="14"/>
  <c r="Q44" i="14"/>
  <c r="D27" i="24"/>
  <c r="D25" i="27"/>
  <c r="D28" i="24"/>
  <c r="D42" i="24"/>
  <c r="I144" i="28"/>
  <c r="I143" i="28" s="1"/>
  <c r="I146" i="28" s="1"/>
  <c r="D72" i="27"/>
  <c r="F72" i="27" s="1"/>
  <c r="D91" i="24"/>
  <c r="Q91" i="14"/>
  <c r="Q26" i="14"/>
  <c r="C34" i="10"/>
  <c r="Q40" i="14"/>
  <c r="Q33" i="14"/>
  <c r="D36" i="24" l="1"/>
  <c r="D31" i="27"/>
  <c r="D37" i="27"/>
  <c r="D34" i="27"/>
  <c r="D38" i="24"/>
  <c r="D41" i="24"/>
  <c r="D40" i="24" s="1"/>
  <c r="D36" i="27"/>
  <c r="D30" i="27"/>
  <c r="D32" i="24"/>
  <c r="C32" i="10"/>
  <c r="D34" i="10" s="1"/>
  <c r="D32" i="10" s="1"/>
  <c r="D21" i="27"/>
  <c r="D24" i="24"/>
  <c r="D29" i="27"/>
  <c r="D31" i="24"/>
  <c r="I100" i="28"/>
  <c r="I140" i="28" s="1"/>
  <c r="D90" i="24"/>
  <c r="D71" i="27"/>
  <c r="F71" i="27" s="1"/>
  <c r="D9" i="24" l="1"/>
  <c r="D35" i="10"/>
  <c r="D37" i="10"/>
  <c r="D38" i="10"/>
  <c r="D36" i="10"/>
  <c r="D7" i="14"/>
  <c r="Q11" i="14"/>
  <c r="C10" i="26" s="1"/>
  <c r="D9" i="27" l="1"/>
  <c r="C21" i="10"/>
  <c r="G10" i="23" l="1"/>
  <c r="D8" i="26" l="1"/>
  <c r="F18" i="27" l="1"/>
  <c r="E17" i="27"/>
  <c r="N366" i="3"/>
  <c r="G11" i="27"/>
  <c r="E32" i="10"/>
  <c r="K428" i="3"/>
  <c r="L428" i="3" l="1"/>
  <c r="F17" i="27"/>
  <c r="E9" i="27"/>
  <c r="E8" i="27" s="1"/>
  <c r="G13" i="27" l="1"/>
  <c r="O138" i="3"/>
  <c r="J93" i="3"/>
  <c r="J426" i="3" s="1"/>
  <c r="F25" i="13"/>
  <c r="C25" i="24" l="1"/>
  <c r="C22" i="27"/>
  <c r="F22" i="27" s="1"/>
  <c r="J430" i="3"/>
  <c r="J363" i="3"/>
  <c r="K90" i="3"/>
  <c r="K92" i="3" s="1"/>
  <c r="O139" i="3"/>
  <c r="O153" i="3" s="1"/>
  <c r="F26" i="13" l="1"/>
  <c r="C26" i="24" l="1"/>
  <c r="C23" i="27"/>
  <c r="F23" i="27" s="1"/>
  <c r="F11" i="13"/>
  <c r="C10" i="13"/>
  <c r="N90" i="3"/>
  <c r="N94" i="3" s="1"/>
  <c r="N365" i="3" s="1"/>
  <c r="N367" i="3" s="1"/>
  <c r="F43" i="13" l="1"/>
  <c r="F33" i="13"/>
  <c r="C36" i="27"/>
  <c r="F36" i="27" s="1"/>
  <c r="F10" i="13"/>
  <c r="F27" i="13"/>
  <c r="C24" i="13"/>
  <c r="F24" i="13" s="1"/>
  <c r="C21" i="27" s="1"/>
  <c r="F21" i="27" s="1"/>
  <c r="C11" i="27"/>
  <c r="F11" i="27" s="1"/>
  <c r="C11" i="24"/>
  <c r="F37" i="13"/>
  <c r="F28" i="13"/>
  <c r="I63" i="4" s="1"/>
  <c r="C10" i="27" l="1"/>
  <c r="F10" i="27" s="1"/>
  <c r="C30" i="27"/>
  <c r="F30" i="27" s="1"/>
  <c r="C31" i="27"/>
  <c r="F31" i="27" s="1"/>
  <c r="C37" i="27"/>
  <c r="F37" i="27" s="1"/>
  <c r="C32" i="13"/>
  <c r="C10" i="24"/>
  <c r="C91" i="24"/>
  <c r="C90" i="24" s="1"/>
  <c r="C51" i="24" s="1"/>
  <c r="C43" i="24"/>
  <c r="F43" i="24" s="1"/>
  <c r="C33" i="24"/>
  <c r="C42" i="24"/>
  <c r="C37" i="24"/>
  <c r="F37" i="24" s="1"/>
  <c r="C28" i="24"/>
  <c r="C25" i="27"/>
  <c r="F25" i="27" s="1"/>
  <c r="C27" i="24"/>
  <c r="C24" i="27"/>
  <c r="F24" i="27" s="1"/>
  <c r="C34" i="27" l="1"/>
  <c r="F34" i="27" s="1"/>
  <c r="C24" i="24"/>
  <c r="F42" i="24"/>
  <c r="C40" i="24"/>
  <c r="F33" i="24"/>
  <c r="F32" i="24" s="1"/>
  <c r="C32" i="24"/>
  <c r="F32" i="13"/>
  <c r="C9" i="13"/>
  <c r="C29" i="27" l="1"/>
  <c r="F29" i="27" s="1"/>
  <c r="F9" i="13"/>
  <c r="C8" i="13"/>
  <c r="C9" i="24"/>
  <c r="C8" i="24" s="1"/>
  <c r="E111" i="2" l="1"/>
  <c r="E112" i="2" s="1"/>
  <c r="F8" i="13"/>
  <c r="B10" i="26"/>
  <c r="E10" i="26" s="1"/>
  <c r="C7" i="10"/>
  <c r="C9" i="27"/>
  <c r="C6" i="10" l="1"/>
  <c r="C10" i="8"/>
  <c r="L366" i="3"/>
  <c r="L367" i="3" s="1"/>
  <c r="K426" i="3"/>
  <c r="E6" i="10"/>
  <c r="F9" i="27"/>
  <c r="C8" i="27"/>
  <c r="B8" i="26"/>
  <c r="L426" i="3" l="1"/>
  <c r="D7" i="10"/>
  <c r="D10" i="10"/>
  <c r="D9" i="10"/>
  <c r="D8" i="10"/>
  <c r="D14" i="10"/>
  <c r="D13" i="10"/>
  <c r="E7" i="10"/>
  <c r="D6" i="10" l="1"/>
  <c r="Q58" i="14"/>
  <c r="D56" i="24" s="1"/>
  <c r="N53" i="14"/>
  <c r="Q53" i="14" s="1"/>
  <c r="N52" i="14" l="1"/>
  <c r="N10" i="14" s="1"/>
  <c r="K32" i="3" s="1"/>
  <c r="K33" i="3" s="1"/>
  <c r="D40" i="27"/>
  <c r="F40" i="27" s="1"/>
  <c r="D51" i="24"/>
  <c r="D8" i="24" s="1"/>
  <c r="F8" i="24" s="1"/>
  <c r="Q52" i="14" l="1"/>
  <c r="O57" i="3"/>
  <c r="R7" i="14"/>
  <c r="R8" i="14" s="1"/>
  <c r="F113" i="2" s="1"/>
  <c r="Q10" i="14"/>
  <c r="I16" i="28"/>
  <c r="D50" i="24" l="1"/>
  <c r="C11" i="26"/>
  <c r="F8" i="26"/>
  <c r="G9" i="26" s="1"/>
  <c r="H8" i="13"/>
  <c r="H10" i="13" s="1"/>
  <c r="D39" i="27"/>
  <c r="D8" i="27" s="1"/>
  <c r="F8" i="27" s="1"/>
  <c r="G9" i="27" s="1"/>
  <c r="C22" i="10"/>
  <c r="C20" i="10" s="1"/>
  <c r="D22" i="10" s="1"/>
  <c r="G46" i="25"/>
  <c r="G48" i="25" s="1"/>
  <c r="F111" i="2"/>
  <c r="F112" i="2" s="1"/>
  <c r="F114" i="2" s="1"/>
  <c r="E20" i="10"/>
  <c r="H11" i="13"/>
  <c r="I10" i="28" s="1"/>
  <c r="K427" i="3"/>
  <c r="L427" i="3" s="1"/>
  <c r="M366" i="3"/>
  <c r="M367" i="3" s="1"/>
  <c r="F39" i="27"/>
  <c r="I21" i="28" l="1"/>
  <c r="I163" i="28" s="1"/>
  <c r="J163" i="28" s="1"/>
  <c r="C8" i="26"/>
  <c r="E8" i="26" s="1"/>
  <c r="F10" i="26" s="1"/>
  <c r="E11" i="26"/>
  <c r="C11" i="8"/>
  <c r="C8" i="8" s="1"/>
  <c r="K430" i="3"/>
  <c r="L430" i="3" s="1"/>
  <c r="D24" i="10"/>
  <c r="D28" i="10"/>
  <c r="D21" i="10"/>
  <c r="D25" i="10"/>
  <c r="D23" i="10"/>
  <c r="D20" i="10" l="1"/>
  <c r="D13" i="8"/>
  <c r="D18" i="8"/>
  <c r="D12" i="8"/>
  <c r="D17" i="8"/>
  <c r="F9" i="8"/>
  <c r="F12" i="8" s="1"/>
  <c r="F13" i="8" s="1"/>
  <c r="D19" i="8"/>
  <c r="D14" i="8"/>
  <c r="D15" i="8"/>
  <c r="D16" i="8"/>
  <c r="D10" i="8"/>
  <c r="D8" i="8" s="1"/>
  <c r="D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BARLEY</author>
  </authors>
  <commentList>
    <comment ref="A48" authorId="0" shapeId="0" xr:uid="{00000000-0006-0000-0100-000001000000}">
      <text>
        <r>
          <rPr>
            <b/>
            <sz val="9"/>
            <color indexed="81"/>
            <rFont val="Tahoma"/>
            <family val="2"/>
          </rPr>
          <t>BARLEY:</t>
        </r>
        <r>
          <rPr>
            <sz val="9"/>
            <color indexed="81"/>
            <rFont val="Tahoma"/>
            <family val="2"/>
          </rPr>
          <t xml:space="preserve">
Convenio Banco Credito Agricola Cartago recaudacion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conta</author>
  </authors>
  <commentList>
    <comment ref="C142" authorId="0" shapeId="0" xr:uid="{00000000-0006-0000-0300-000001000000}">
      <text>
        <r>
          <rPr>
            <b/>
            <sz val="8"/>
            <color indexed="81"/>
            <rFont val="Tahoma"/>
            <family val="2"/>
          </rPr>
          <t>conta:</t>
        </r>
        <r>
          <rPr>
            <sz val="8"/>
            <color indexed="81"/>
            <rFont val="Tahoma"/>
            <family val="2"/>
          </rPr>
          <t xml:space="preserve">
Ley 7600 Discapacitados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N13" authorId="0" shapeId="0" xr:uid="{28890EFF-EA13-42C0-BA4E-E5D67C26F8C2}">
      <text>
        <r>
          <rPr>
            <b/>
            <sz val="9"/>
            <color indexed="81"/>
            <rFont val="Tahoma"/>
            <family val="2"/>
          </rPr>
          <t>Usuario de Windows:</t>
        </r>
        <r>
          <rPr>
            <sz val="9"/>
            <color indexed="81"/>
            <rFont val="Tahoma"/>
            <family val="2"/>
          </rPr>
          <t xml:space="preserve">
Quitar en 2021 monto de 456.101.61 retroactivo de Luis Reyes</t>
        </r>
      </text>
    </comment>
    <comment ref="N74" authorId="0" shapeId="0" xr:uid="{00000000-0006-0000-0400-000002000000}">
      <text>
        <r>
          <rPr>
            <b/>
            <sz val="9"/>
            <color indexed="81"/>
            <rFont val="Tahoma"/>
            <family val="2"/>
          </rPr>
          <t>Usuario de Windows:</t>
        </r>
        <r>
          <rPr>
            <sz val="9"/>
            <color indexed="81"/>
            <rFont val="Tahoma"/>
            <family val="2"/>
          </rPr>
          <t xml:space="preserve">
Mensualidades servicio Mer -Link
SICOP 429.91 dolares por mes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Flor de María Alfaro</author>
    <author>Tita y Tio</author>
  </authors>
  <commentList>
    <comment ref="A6" authorId="0" shapeId="0" xr:uid="{00000000-0006-0000-0D00-000001000000}">
      <text>
        <r>
          <rPr>
            <b/>
            <sz val="12"/>
            <color indexed="9"/>
            <rFont val="Tahoma"/>
            <family val="2"/>
          </rPr>
          <t xml:space="preserve">DATOS UTILIZADOS UNICAMENTE COMO EJEMPLO.
</t>
        </r>
      </text>
    </comment>
    <comment ref="A7" authorId="0" shapeId="0" xr:uid="{00000000-0006-0000-0D00-000002000000}">
      <text>
        <r>
          <rPr>
            <sz val="8"/>
            <color indexed="81"/>
            <rFont val="Tahoma"/>
            <family val="2"/>
          </rPr>
          <t xml:space="preserve">Código asignado al ingreso en el clasificador de ingresos del sector público, así como el código asignado a las cuentas personalizadas en el Sistema Integrado de Presupuesto Público de la CGR.  Como por ejemplo: Servicio de recolección de basura 
1.3.1.2.05.04.1.0.000
Si es una transferencia proveniente del Gobierno Central, del Ministerio de Obras Públicas, por concepto de la Ley No. 8114, debe indicarse el código definido en el clasificador de ingresos y entre paréntesis indicar la entidad y el origen del recurso), por ejemplo:
2.4.1.1.00.00.0.0.000   Transferencias de capital  del Gobierno Central
(Ministerio de Obras Públicas y Transportes, Ley No. 8114)
</t>
        </r>
      </text>
    </comment>
    <comment ref="B7" authorId="0" shapeId="0" xr:uid="{00000000-0006-0000-0D00-000003000000}">
      <text>
        <r>
          <rPr>
            <b/>
            <sz val="8"/>
            <color indexed="81"/>
            <rFont val="Tahoma"/>
            <family val="2"/>
          </rPr>
          <t>Debe incluirse el nombre del ingreso.   Ejemplo: Impuesto de bienes inmuebles, Ley 7729. Servicio recolección de basura. Servicio de aseo de vías. Alquiler milla marítima.  Patente de Licores, etc.</t>
        </r>
        <r>
          <rPr>
            <sz val="8"/>
            <color indexed="81"/>
            <rFont val="Tahoma"/>
            <family val="2"/>
          </rPr>
          <t xml:space="preserve">
</t>
        </r>
      </text>
    </comment>
    <comment ref="C7" authorId="0" shapeId="0" xr:uid="{00000000-0006-0000-0D00-000004000000}">
      <text>
        <r>
          <rPr>
            <sz val="8"/>
            <color indexed="81"/>
            <rFont val="Tahoma"/>
            <family val="2"/>
          </rPr>
          <t xml:space="preserve">Monto presupuestado en el PO-2006
</t>
        </r>
      </text>
    </comment>
    <comment ref="D8" authorId="1" shapeId="0" xr:uid="{00000000-0006-0000-0D00-000005000000}">
      <text>
        <r>
          <rPr>
            <sz val="8"/>
            <color indexed="81"/>
            <rFont val="Tahoma"/>
            <family val="2"/>
          </rPr>
          <t>PROGRAMA:
I-II-III-IV</t>
        </r>
      </text>
    </comment>
    <comment ref="E8" authorId="1" shapeId="0" xr:uid="{00000000-0006-0000-0D00-000006000000}">
      <text>
        <r>
          <rPr>
            <sz val="10"/>
            <color indexed="81"/>
            <rFont val="Tahoma"/>
            <family val="2"/>
          </rPr>
          <t>ACTIVIDAD (PROGRAMA I) / SERVICIO (PROGRAMA II) / GRUPO (PROGRAMAS III Y IV)</t>
        </r>
      </text>
    </comment>
    <comment ref="F8" authorId="1" shapeId="0" xr:uid="{00000000-0006-0000-0D00-000007000000}">
      <text>
        <r>
          <rPr>
            <sz val="10"/>
            <color indexed="81"/>
            <rFont val="Tahoma"/>
            <family val="2"/>
          </rPr>
          <t>PROYECTO (PROGRAMAS III Y IV)</t>
        </r>
      </text>
    </comment>
    <comment ref="H8" authorId="0" shapeId="0" xr:uid="{00000000-0006-0000-0D00-000008000000}">
      <text>
        <r>
          <rPr>
            <b/>
            <u/>
            <sz val="12"/>
            <color indexed="81"/>
            <rFont val="Tahoma"/>
            <family val="2"/>
          </rPr>
          <t xml:space="preserve">¿Qué información se incluye en la columna aplicación?
</t>
        </r>
        <r>
          <rPr>
            <sz val="12"/>
            <color indexed="81"/>
            <rFont val="Tahoma"/>
            <family val="2"/>
          </rPr>
          <t xml:space="preserve">Se incluye el nombre del gasto presupuestado de la siguiente manera:
</t>
        </r>
        <r>
          <rPr>
            <b/>
            <sz val="12"/>
            <color indexed="81"/>
            <rFont val="Tahoma"/>
            <family val="2"/>
          </rPr>
          <t>Si es un gasto del Programa I:</t>
        </r>
        <r>
          <rPr>
            <sz val="12"/>
            <color indexed="81"/>
            <rFont val="Tahoma"/>
            <family val="2"/>
          </rPr>
          <t xml:space="preserve">
  Administración General
  Auditoría Interna
  Administración de inversiones propias
  Registro de deudas, fondos y aportes:
    - Amortización préstamo edificio Municipal
    - Nombre del beneficiario (si es una transferencia)
    - Cuenta especial: (nombre)
</t>
        </r>
        <r>
          <rPr>
            <b/>
            <sz val="12"/>
            <color indexed="81"/>
            <rFont val="Tahoma"/>
            <family val="2"/>
          </rPr>
          <t>Si es un gasto del Programa II:</t>
        </r>
        <r>
          <rPr>
            <sz val="12"/>
            <color indexed="81"/>
            <rFont val="Tahoma"/>
            <family val="2"/>
          </rPr>
          <t xml:space="preserve">
  Nombre del servicio.
       </t>
        </r>
        <r>
          <rPr>
            <b/>
            <sz val="9"/>
            <color indexed="81"/>
            <rFont val="Tahoma"/>
            <family val="2"/>
          </rPr>
          <t xml:space="preserve"> *En el caso del Servicio 09, sería importante que se separe lo relativo a gastos para actividades culturales y gastos para actividades deportivas para efecto de verificar el cumplimiento a la Ley de Espectáculos Públicos.</t>
        </r>
        <r>
          <rPr>
            <sz val="12"/>
            <color indexed="81"/>
            <rFont val="Tahoma"/>
            <family val="2"/>
          </rPr>
          <t xml:space="preserve">
</t>
        </r>
        <r>
          <rPr>
            <b/>
            <sz val="12"/>
            <color indexed="81"/>
            <rFont val="Tahoma"/>
            <family val="2"/>
          </rPr>
          <t>Si es un gasto del Programa III o IV:</t>
        </r>
        <r>
          <rPr>
            <sz val="12"/>
            <color indexed="81"/>
            <rFont val="Tahoma"/>
            <family val="2"/>
          </rPr>
          <t xml:space="preserve">
  Nombre del proyecto (recordar que corresponde a lo que anteriormente se denominaba obra)
  Nombre del beneficiario (si es una transferencia)
  Cuenta especial: (nombre)
  Otros fondos e inversiones especificar el objeto del gasto.
</t>
        </r>
      </text>
    </comment>
    <comment ref="H9" authorId="0" shapeId="0" xr:uid="{00000000-0006-0000-0D00-000009000000}">
      <text>
        <r>
          <rPr>
            <sz val="8"/>
            <color indexed="81"/>
            <rFont val="Tahoma"/>
            <family val="2"/>
          </rPr>
          <t xml:space="preserve">
En el SIPP se debe indicar a cuál o cuáles juntas de educación se le tranfieren recursos.</t>
        </r>
      </text>
    </comment>
    <comment ref="H38" authorId="0" shapeId="0" xr:uid="{00000000-0006-0000-0D00-00000A000000}">
      <text>
        <r>
          <rPr>
            <sz val="8"/>
            <color indexed="81"/>
            <rFont val="Tahoma"/>
            <family val="2"/>
          </rPr>
          <t xml:space="preserve">
En el SIPP se debe indicar a cuál o cuáles juntas de educación se le tranfieren recursos.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9" authorId="0" shapeId="0" xr:uid="{1F0C0732-0105-4946-BDC2-C799CB06AF4D}">
      <text>
        <r>
          <rPr>
            <b/>
            <sz val="8"/>
            <color indexed="81"/>
            <rFont val="Tahoma"/>
            <family val="2"/>
          </rPr>
          <t xml:space="preserve">Son aquellos procesos que están orientados hacia lo esencial de la organización, lo más importante o fundamental por lo cual fue creada.  
Ejemplo de procesos sustantivos municipales: 
</t>
        </r>
        <r>
          <rPr>
            <sz val="8"/>
            <color indexed="81"/>
            <rFont val="Tahoma"/>
            <family val="2"/>
          </rPr>
          <t xml:space="preserve">La prestación de servicios comunitarios y la realización de proyectos o programas dirigidos a la ciudadanía (Programas II y III), así como los procesos de Administración Tributaria (IBI, patentes, construcciones, otros tributos) ubicados en el programa I. </t>
        </r>
      </text>
    </comment>
    <comment ref="J9" authorId="0" shapeId="0" xr:uid="{2D0895E8-7974-42E4-B0FF-C5017675F769}">
      <text>
        <r>
          <rPr>
            <b/>
            <sz val="8"/>
            <color indexed="81"/>
            <rFont val="Tahoma"/>
            <family val="2"/>
          </rPr>
          <t xml:space="preserve">Son aquellos que tienen el propósito de lograr que las actividades sustantivas se realicen de forma eficaz y eficiente, proporcionando los recursos requeridos para tal fin, sean estos financieros, humanos, tecnológicos o materiales.  En el programa I: Dirección y Administración General se ubican estos procesos de apoyo, con excepción de la Administración Tributaria (IBI, patentes, construcciones, otros tributos) que se catalogan como procesos sustantivos.   
Ejemplo de procesos de apoyo en el Programa I: </t>
        </r>
        <r>
          <rPr>
            <sz val="8"/>
            <color indexed="81"/>
            <rFont val="Tahoma"/>
            <family val="2"/>
          </rPr>
          <t xml:space="preserve">Gestión de servicio al cliente (Plataformas de servicios, contralorías de servicios), Gestión de recursos humanos, Servicios generales (seguridad, mensajería, misceláneos), Gestión de Administración Financiera (Contabilidad, Presupuesto, Tesorería), Adquisición de bienes y servicios,  asesoría legal, servicios informáticos, asesores, Alcalde, Vicealcaldes, entre otros. </t>
        </r>
        <r>
          <rPr>
            <b/>
            <sz val="8"/>
            <color indexed="81"/>
            <rFont val="Tahoma"/>
            <family val="2"/>
          </rPr>
          <t xml:space="preserve">
</t>
        </r>
      </text>
    </comment>
    <comment ref="B10" authorId="0" shapeId="0" xr:uid="{25F74227-6F3B-4DDD-B87D-18D781C9566A}">
      <text>
        <r>
          <rPr>
            <b/>
            <sz val="8"/>
            <color indexed="81"/>
            <rFont val="Tahoma"/>
            <family val="2"/>
          </rPr>
          <t>Número de plazas</t>
        </r>
      </text>
    </comment>
    <comment ref="C10" authorId="0" shapeId="0" xr:uid="{44F3F072-27DB-408E-A75D-B4D5C60E8334}">
      <text>
        <r>
          <rPr>
            <b/>
            <sz val="8"/>
            <color indexed="81"/>
            <rFont val="Tahoma"/>
            <family val="2"/>
          </rPr>
          <t>Número de plazas</t>
        </r>
      </text>
    </comment>
    <comment ref="D10" authorId="0" shapeId="0" xr:uid="{20A7DE84-CCC4-4CC1-8867-BC9550101466}">
      <text>
        <r>
          <rPr>
            <b/>
            <sz val="8"/>
            <color indexed="81"/>
            <rFont val="Tahoma"/>
            <family val="2"/>
          </rPr>
          <t>Tiene que ser "0"</t>
        </r>
      </text>
    </comment>
    <comment ref="E10" authorId="0" shapeId="0" xr:uid="{1A127CFE-44B8-4096-8E03-9A23B49278BE}">
      <text>
        <r>
          <rPr>
            <b/>
            <sz val="8"/>
            <color indexed="81"/>
            <rFont val="Tahoma"/>
            <family val="2"/>
          </rPr>
          <t>Número de plazas</t>
        </r>
      </text>
    </comment>
    <comment ref="F10" authorId="0" shapeId="0" xr:uid="{64535B40-6818-43F6-8CD5-70489FC75FDC}">
      <text>
        <r>
          <rPr>
            <b/>
            <sz val="8"/>
            <color indexed="81"/>
            <rFont val="Tahoma"/>
            <family val="2"/>
          </rPr>
          <t>Número de plazas</t>
        </r>
      </text>
    </comment>
    <comment ref="G10" authorId="0" shapeId="0" xr:uid="{EEED586A-64BD-43A7-B0FF-BD217C83F872}">
      <text>
        <r>
          <rPr>
            <b/>
            <sz val="8"/>
            <color indexed="81"/>
            <rFont val="Tahoma"/>
            <family val="2"/>
          </rPr>
          <t>Número de plazas</t>
        </r>
      </text>
    </comment>
    <comment ref="H10" authorId="0" shapeId="0" xr:uid="{5938DC3B-F8C0-4AD7-935B-8942B763984E}">
      <text>
        <r>
          <rPr>
            <b/>
            <sz val="8"/>
            <color indexed="81"/>
            <rFont val="Tahoma"/>
            <family val="2"/>
          </rPr>
          <t>Número de plazas</t>
        </r>
      </text>
    </comment>
    <comment ref="J10" authorId="0" shapeId="0" xr:uid="{B9BB936E-43E3-45C5-BF5C-77AEFA51A62D}">
      <text>
        <r>
          <rPr>
            <b/>
            <sz val="8"/>
            <color indexed="81"/>
            <rFont val="Tahoma"/>
            <family val="2"/>
          </rPr>
          <t>Número de plazas</t>
        </r>
      </text>
    </comment>
    <comment ref="K10" authorId="0" shapeId="0" xr:uid="{90D3CEC0-CAC2-4FA6-8A26-8892AC6AEBBC}">
      <text>
        <r>
          <rPr>
            <b/>
            <sz val="8"/>
            <color indexed="81"/>
            <rFont val="Tahoma"/>
            <family val="2"/>
          </rPr>
          <t>Número de plazas</t>
        </r>
      </text>
    </comment>
    <comment ref="M10" authorId="0" shapeId="0" xr:uid="{2D0674E7-9235-4577-A2B6-D199D2B5F0AA}">
      <text>
        <r>
          <rPr>
            <b/>
            <sz val="8"/>
            <color indexed="81"/>
            <rFont val="Tahoma"/>
            <family val="2"/>
          </rPr>
          <t>Tiene que ser "0"</t>
        </r>
      </text>
    </comment>
    <comment ref="N10" authorId="0" shapeId="0" xr:uid="{3F526564-A6DB-44A4-895E-4D79AB45CB39}">
      <text>
        <r>
          <rPr>
            <b/>
            <sz val="8"/>
            <color indexed="81"/>
            <rFont val="Tahoma"/>
            <family val="2"/>
          </rPr>
          <t>Número de plazas</t>
        </r>
      </text>
    </comment>
    <comment ref="O10" authorId="0" shapeId="0" xr:uid="{CC155952-DDAF-4ADD-B788-34DEC54A8931}">
      <text>
        <r>
          <rPr>
            <b/>
            <sz val="8"/>
            <color indexed="81"/>
            <rFont val="Tahoma"/>
            <family val="2"/>
          </rPr>
          <t>Número de plazas</t>
        </r>
      </text>
    </comment>
    <comment ref="P10" authorId="0" shapeId="0" xr:uid="{389DBBA0-6533-4350-8640-079DB1F84D83}">
      <text>
        <r>
          <rPr>
            <b/>
            <sz val="8"/>
            <color indexed="81"/>
            <rFont val="Tahoma"/>
            <family val="2"/>
          </rPr>
          <t>Número de plazas</t>
        </r>
      </text>
    </comment>
    <comment ref="Q10" authorId="0" shapeId="0" xr:uid="{A4218576-7539-4BCC-9C18-A0346319BD7A}">
      <text>
        <r>
          <rPr>
            <b/>
            <sz val="8"/>
            <color indexed="81"/>
            <rFont val="Tahoma"/>
            <family val="2"/>
          </rPr>
          <t>Número de plazas</t>
        </r>
      </text>
    </comment>
    <comment ref="K11" authorId="0" shapeId="0" xr:uid="{2EBDDCA4-5F6A-4304-8861-FAE0E3920BC4}">
      <text>
        <r>
          <rPr>
            <b/>
            <sz val="8"/>
            <color indexed="81"/>
            <rFont val="Tahoma"/>
            <family val="2"/>
          </rPr>
          <t>ARTÍCULO 118 DEL CÓDIGO MUNICIPAL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65" authorId="0" shapeId="0" xr:uid="{96338EB9-4FB8-4908-BA80-85AF7CEB023A}">
      <text>
        <r>
          <rPr>
            <sz val="10"/>
            <color indexed="81"/>
            <rFont val="Tahoma"/>
            <family val="2"/>
          </rPr>
          <t xml:space="preserve">CORRESPONDE A COMPLEMENTOS SALARIALES QUE SE LE RECONOCEN A CIERTOS FUNCIONARIOS PRODUCTO DE DIFERENCIAS EN LOS SALARIOS BASE UNA VEZ APLICADO UN ESTUDIO INTEGRAL DE PUESTO.   DICHAS DIFERENCIAS DESAPARECEN UNA VEZ QUE EL FUNCIONARIO DEJA LA PLAZA.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51" authorId="0" shapeId="0" xr:uid="{10A72FB5-53EC-4C1E-A7A5-2DC4CB202B5E}">
      <text>
        <r>
          <rPr>
            <sz val="10"/>
            <color indexed="81"/>
            <rFont val="Tahoma"/>
            <family val="2"/>
          </rPr>
          <t xml:space="preserve">CORRESPONDE A COMPLEMENTOS SALARIALES QUE SE LE RECONOCEN A CIERTOS FUNCIONARIOS PRODUCTO DE DIFERENCIAS EN LOS SALARIOS BASE UNA VEZ APLICADO UN ESTUDIO INTEGRAL DE PUESTO.   DICHAS DIFERENCIAS DESAPARECEN UNA VEZ QUE EL FUNCIONARIO DEJA LA PLAZA.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37" authorId="0" shapeId="0" xr:uid="{460CF840-D638-4CA4-8670-8F86D352680D}">
      <text>
        <r>
          <rPr>
            <sz val="10"/>
            <color indexed="81"/>
            <rFont val="Tahoma"/>
            <family val="2"/>
          </rPr>
          <t xml:space="preserve">CORRESPONDE A COMPLEMENTOS SALARIALES QUE SE LE RECONOCEN A CIERTOS FUNCIONARIOS PRODUCTO DE DIFERENCIAS EN LOS SALARIOS BASE UNA VEZ APLICADO UN ESTUDIO INTEGRAL DE PUESTO.   DICHAS DIFERENCIAS DESAPARECEN UNA VEZ QUE EL FUNCIONARIO DEJA LA PLAZA.
</t>
        </r>
      </text>
    </comment>
  </commentList>
</comments>
</file>

<file path=xl/sharedStrings.xml><?xml version="1.0" encoding="utf-8"?>
<sst xmlns="http://schemas.openxmlformats.org/spreadsheetml/2006/main" count="5742" uniqueCount="1487">
  <si>
    <t xml:space="preserve">1.4.1.2.00.00.0.0.000   </t>
  </si>
  <si>
    <t xml:space="preserve">1.4.1.2.01.00.0.0.000   </t>
  </si>
  <si>
    <t xml:space="preserve">1.4.0.0.00.00.0.0.000   </t>
  </si>
  <si>
    <t xml:space="preserve">1.4.1.0.00.00.0.0.000   </t>
  </si>
  <si>
    <t>TRANSFERENCIAS CORRIENTES</t>
  </si>
  <si>
    <t>Transferencias corrientes de Órganos Desconcentrados</t>
  </si>
  <si>
    <t xml:space="preserve">1.4.1.3.00.00.0.0.000 </t>
  </si>
  <si>
    <t xml:space="preserve">                                   </t>
  </si>
  <si>
    <t xml:space="preserve">1.4.1.3.01.00.0.0.000   </t>
  </si>
  <si>
    <t>IFAM Ley de licores</t>
  </si>
  <si>
    <t xml:space="preserve">2.0.0.0.00.00.0.0.000 </t>
  </si>
  <si>
    <t>INGRESOS DE CAPITAL</t>
  </si>
  <si>
    <t xml:space="preserve">2.4.1.1.00.00.0.0.000   </t>
  </si>
  <si>
    <t xml:space="preserve">2.4.0.0.00.00.0.0.000  </t>
  </si>
  <si>
    <t xml:space="preserve">2.4.1.0.00.00.0.0.000  </t>
  </si>
  <si>
    <t xml:space="preserve">2.4.1.3.00.00.0.0.000 </t>
  </si>
  <si>
    <t>TRANSFERENCIAS DE CAPITAL</t>
  </si>
  <si>
    <t>TRANSFERENCIAS DE CAPITAL DEL SECTOR PUBLICO</t>
  </si>
  <si>
    <t>Transferencias de capital  del Gobierno Central</t>
  </si>
  <si>
    <t xml:space="preserve">2.4.1.1.01.00.0.0.000   </t>
  </si>
  <si>
    <t xml:space="preserve">2.4.1.3.01.00.0.0.000   </t>
  </si>
  <si>
    <t>Ley de Simplificación 8114</t>
  </si>
  <si>
    <t>IFAM Ley 6909 (Impuesto de derecho de circulación de los vehículos)</t>
  </si>
  <si>
    <t xml:space="preserve">MUNICIPALIDAD DE LOS CHILES </t>
  </si>
  <si>
    <t>TOTAL</t>
  </si>
  <si>
    <t>1.1.3.2.01.05.0.0.000</t>
  </si>
  <si>
    <t>Impuestos específicos sobre la construcción</t>
  </si>
  <si>
    <t xml:space="preserve">1.3.9.0.00.00.0.0.000 </t>
  </si>
  <si>
    <t>OTROS INGRESOS NO TRIBUTARIOS</t>
  </si>
  <si>
    <t>1.3.9.9.00.00.0.0.000</t>
  </si>
  <si>
    <t>Ingresos varios no especificados</t>
  </si>
  <si>
    <t>Certificaciones Registrales</t>
  </si>
  <si>
    <t>Transferencias de capital de Instituciones Descentralizadas no empresariales</t>
  </si>
  <si>
    <t>Derechos administrativos a los servicios de transporte por carretera</t>
  </si>
  <si>
    <t>1.3.1.2.05.00.0.0.000</t>
  </si>
  <si>
    <t>SERVICIOS COMUNITARIOS</t>
  </si>
  <si>
    <t xml:space="preserve">1.3.1.2.04.01.2.0.000   </t>
  </si>
  <si>
    <t>Alquiler de edificios y locales</t>
  </si>
  <si>
    <t>DERECHOS ADMINISTRATIVOS A LOS SERVICIOS DE TRANSPORTE</t>
  </si>
  <si>
    <t>DERECHOS ADMINISTRATIVOS A OTROS SERVICIOS PUBLICOS</t>
  </si>
  <si>
    <t>TRANSFERENCIAS CORRIENTES DEL SECTOR PUBLICO</t>
  </si>
  <si>
    <t>Transferencias corrientes de Instituciones Descentralizadas no Empresariales</t>
  </si>
  <si>
    <t>DETALLE DE ORIGEN Y APLICACIÓN DE RECURSOS ESPECÍFICOS</t>
  </si>
  <si>
    <t>INGRESO ESPECÍFICO</t>
  </si>
  <si>
    <t>APLICACIÓN</t>
  </si>
  <si>
    <t>Programa</t>
  </si>
  <si>
    <t>Act/Serv/Grupo</t>
  </si>
  <si>
    <t>Proyecto</t>
  </si>
  <si>
    <t>II</t>
  </si>
  <si>
    <t>III</t>
  </si>
  <si>
    <t>CUADRO No. 2</t>
  </si>
  <si>
    <t>RELACIÓN DE PUESTOS</t>
  </si>
  <si>
    <t>NÚMERO DE PLAZAS</t>
  </si>
  <si>
    <t>CATEG.</t>
  </si>
  <si>
    <t xml:space="preserve">SALARIO </t>
  </si>
  <si>
    <t>AUMENTO</t>
  </si>
  <si>
    <t>SALARIO</t>
  </si>
  <si>
    <t>MESES</t>
  </si>
  <si>
    <t>ACTUAL</t>
  </si>
  <si>
    <t>JORNADA</t>
  </si>
  <si>
    <t>DETALLE</t>
  </si>
  <si>
    <t>BASE</t>
  </si>
  <si>
    <t xml:space="preserve"> AL SALARIO</t>
  </si>
  <si>
    <t>PROPUESTA</t>
  </si>
  <si>
    <t>A</t>
  </si>
  <si>
    <t>(Horas)</t>
  </si>
  <si>
    <t>DEL PUESTO</t>
  </si>
  <si>
    <t>PROPUESTO</t>
  </si>
  <si>
    <t>SEMANAS</t>
  </si>
  <si>
    <t>PRESUPUESTAR</t>
  </si>
  <si>
    <t>(4)</t>
  </si>
  <si>
    <t xml:space="preserve">SUELDOS PARA CARGOS  FIJOS </t>
  </si>
  <si>
    <t xml:space="preserve"> </t>
  </si>
  <si>
    <t>8</t>
  </si>
  <si>
    <t>Alcalde Municipal (1)</t>
  </si>
  <si>
    <t>4</t>
  </si>
  <si>
    <t>Auditor Interno</t>
  </si>
  <si>
    <t>Secretaria Municipal</t>
  </si>
  <si>
    <t>Contador Municipal</t>
  </si>
  <si>
    <t xml:space="preserve">  TOTAL A PRESUPUESTAR SUELDOS PARA CARGOS  FIJOS </t>
  </si>
  <si>
    <t>TOTAL DE PLAZAS</t>
  </si>
  <si>
    <t>INCENTIVOS SALARIALES</t>
  </si>
  <si>
    <t>MONTO PRESUPUESTADO</t>
  </si>
  <si>
    <t>Restricción del ejercicio liberal de la profesión (prohibición y dedicación exclusiva): (8)</t>
  </si>
  <si>
    <t>Salario escolar (9)</t>
  </si>
  <si>
    <t>Otros incentivos salariales: (10)</t>
  </si>
  <si>
    <t xml:space="preserve">    Sobresueldos</t>
  </si>
  <si>
    <t xml:space="preserve">    Nombre del incentivo</t>
  </si>
  <si>
    <t>Notas:</t>
  </si>
  <si>
    <t>(1) Salario según lo señalado en el artículo 20 del Código Municipal (Ver detalle Nº7)</t>
  </si>
  <si>
    <t xml:space="preserve">(2) Corresponde al personal contratado en forma permanente  cuyo pago sea semanal  y que no tienen considerado en su pago </t>
  </si>
  <si>
    <t>el día de descanso obligatorio (antes jornales fijos)</t>
  </si>
  <si>
    <t xml:space="preserve">(3) Los sobre sueldos que se incorporaran en esta columna son aquellos considerados como parte del salario base, para los cuales </t>
  </si>
  <si>
    <t>Partida</t>
  </si>
  <si>
    <t>Subpartida</t>
  </si>
  <si>
    <t>Sueldos para cargos fijos</t>
  </si>
  <si>
    <t>0</t>
  </si>
  <si>
    <t>Jornales Ocasionales</t>
  </si>
  <si>
    <t>Retribucion por años servidos</t>
  </si>
  <si>
    <t>Decimo tercer mes</t>
  </si>
  <si>
    <t>Contrib patronal CCSS</t>
  </si>
  <si>
    <t>Contrib patronal Bco Popular</t>
  </si>
  <si>
    <t>Aporte Patronal ROP</t>
  </si>
  <si>
    <t>Aporte Patronal FCL</t>
  </si>
  <si>
    <t>1</t>
  </si>
  <si>
    <t>Viaticos dentro del pais</t>
  </si>
  <si>
    <t>Seguros</t>
  </si>
  <si>
    <t>08</t>
  </si>
  <si>
    <t>2</t>
  </si>
  <si>
    <t>99</t>
  </si>
  <si>
    <t>Productos papel y carton</t>
  </si>
  <si>
    <t>Transporte dentro del pais</t>
  </si>
  <si>
    <t>Servicio agua y alcantarill</t>
  </si>
  <si>
    <t>Servicio energia electrica</t>
  </si>
  <si>
    <t>Servicio telecomunicaciones</t>
  </si>
  <si>
    <t>Impresión, encuadernacion</t>
  </si>
  <si>
    <t>SECCION DE INGRESOS</t>
  </si>
  <si>
    <t>Mante. Edificios y locales</t>
  </si>
  <si>
    <t>Utiles mat limpieza</t>
  </si>
  <si>
    <t>Utiles mate. Resg. Segur</t>
  </si>
  <si>
    <t>5</t>
  </si>
  <si>
    <t>Equipo mobiliario oficina</t>
  </si>
  <si>
    <t>Edificios</t>
  </si>
  <si>
    <t>Utiles y mat. Oficina y com</t>
  </si>
  <si>
    <t>6</t>
  </si>
  <si>
    <t>Combustibles y lubricantes</t>
  </si>
  <si>
    <t>Repuestos accesorios</t>
  </si>
  <si>
    <t>Utiles mat.ofician y computo</t>
  </si>
  <si>
    <t>Productos de papel, carton</t>
  </si>
  <si>
    <t>9</t>
  </si>
  <si>
    <t>Elaborado por Barley Garita Herrera</t>
  </si>
  <si>
    <t>Chofer camion recolector</t>
  </si>
  <si>
    <t>Modificado en Interna No 1-2006</t>
  </si>
  <si>
    <t>2.03.02</t>
  </si>
  <si>
    <t>se les considera los mismos beneficios del salario base. (Si se incluye por primera vez, debe adjuntarse la justificación legal y técnica).</t>
  </si>
  <si>
    <t xml:space="preserve">(4) Los aumentos salariales se ajustan a lo establecido en el artículo 100 del Código Municipal. </t>
  </si>
  <si>
    <t>(5) Clasificado en la subpartida de Sueldos para Cargos Fijos (0,01,01)</t>
  </si>
  <si>
    <t>(6) Clasificado en la subpartida de Servicios Especiales (0.01.03)</t>
  </si>
  <si>
    <t>(7) Clasificado en la subpartida de Retribución por años de servicios (0.03.01)</t>
  </si>
  <si>
    <t>(8) Clasificado en la subpartida de Restricción al ejercicio laboral (0.03.02)</t>
  </si>
  <si>
    <t>(9) Clasificado en la subpartida Salario Escolar (0.03.04)</t>
  </si>
  <si>
    <t>(10) Clasificado en la subpartida Otros incentivos salariales (0.03.99)</t>
  </si>
  <si>
    <t>CUADRO No. 3</t>
  </si>
  <si>
    <t>SALARIO DEL ALCALDE</t>
  </si>
  <si>
    <t>De acuerdo al artículo 20 del Código Municipal (1)</t>
  </si>
  <si>
    <t>a) Salario mayor pagado</t>
  </si>
  <si>
    <t>Con las anualidades aprobadas</t>
  </si>
  <si>
    <t>Mas la anualidad del periodo</t>
  </si>
  <si>
    <t xml:space="preserve">    Salario Base</t>
  </si>
  <si>
    <t xml:space="preserve">    Carrera Profesional</t>
  </si>
  <si>
    <t xml:space="preserve">    Total salario mayor pagado</t>
  </si>
  <si>
    <t xml:space="preserve">    más:</t>
  </si>
  <si>
    <t>6.01.02</t>
  </si>
  <si>
    <t>6.01.03</t>
  </si>
  <si>
    <t>6.01.04</t>
  </si>
  <si>
    <t>6.03.03</t>
  </si>
  <si>
    <t>6.03.04</t>
  </si>
  <si>
    <t>6.03.05</t>
  </si>
  <si>
    <t>TRANSFERENCIAS CORRIENTES A GOBIERNOS LOCALES</t>
  </si>
  <si>
    <t xml:space="preserve">TRANSFERENCIAS CORRIENTES A INSTITUCIONES DESCENTRALIZADAS NO EMPRESARIALES </t>
  </si>
  <si>
    <t>TRANSFERENCIAS CORRIENTES A ORGANOS DESCONCENTRADOS</t>
  </si>
  <si>
    <t xml:space="preserve">    Salario base del Alcalde</t>
  </si>
  <si>
    <t xml:space="preserve">     Más: </t>
  </si>
  <si>
    <t xml:space="preserve">     Restricción del ejercicio liberal de la profesión (2)</t>
  </si>
  <si>
    <t xml:space="preserve">    Total salario mensual</t>
  </si>
  <si>
    <t>CUADRO No. 4</t>
  </si>
  <si>
    <t>DETALLE DE LA DEUDA</t>
  </si>
  <si>
    <t xml:space="preserve">TOTAL DEUDAS </t>
  </si>
  <si>
    <t>ENTIDAD</t>
  </si>
  <si>
    <t xml:space="preserve">OBJETIVO DEL </t>
  </si>
  <si>
    <t>FINANCIERA</t>
  </si>
  <si>
    <t>Nº OPERACIÓN</t>
  </si>
  <si>
    <t>PRÉSTAMO</t>
  </si>
  <si>
    <t>TOTALES</t>
  </si>
  <si>
    <t>DIFERENCIA</t>
  </si>
  <si>
    <t>CUADRO No. 5</t>
  </si>
  <si>
    <t>Cédula Jurídica (entidad privada)</t>
  </si>
  <si>
    <t>FUNDAMENTO LEGAL</t>
  </si>
  <si>
    <t>7.03</t>
  </si>
  <si>
    <t>Talleres</t>
  </si>
  <si>
    <t>Rehabilitacion de Niños</t>
  </si>
  <si>
    <t>PORCENTAJE RELATIVO</t>
  </si>
  <si>
    <t>SECION DE INGRESOS</t>
  </si>
  <si>
    <t>INGRESOS TOTALES</t>
  </si>
  <si>
    <t>Impuestos  específicos  a   los servicios   de   diversión   y  esparcimiento</t>
  </si>
  <si>
    <t>Intereses sobre cuentas corrientes y otros depósitos en Bancos Estatles</t>
  </si>
  <si>
    <t>Transferencias de capital de Instituciones Descentralizdas no empresariales</t>
  </si>
  <si>
    <t>SECCION DE EGRESOS</t>
  </si>
  <si>
    <t>DETALLE GENERAL DEL OBJETO DEL GASTO</t>
  </si>
  <si>
    <t>EGRESOS TOTALES</t>
  </si>
  <si>
    <t>REMUNERACIONES</t>
  </si>
  <si>
    <t xml:space="preserve">SERVICIOS </t>
  </si>
  <si>
    <t>MATERIALES Y SUMINISTROS</t>
  </si>
  <si>
    <t xml:space="preserve">INTERESES Y COMISIONES </t>
  </si>
  <si>
    <t>ACTIVOS FINANCIEROS</t>
  </si>
  <si>
    <t>BIENES DURADEROS</t>
  </si>
  <si>
    <t xml:space="preserve">AMORTIZACION </t>
  </si>
  <si>
    <t>Auditora</t>
  </si>
  <si>
    <t>CUENTAS ESPECIALES</t>
  </si>
  <si>
    <t>MUNICIPALIDAD DE LOS CHILES</t>
  </si>
  <si>
    <t>DETALLE DEL OBJETO DEL GASTO PROGRAMA I</t>
  </si>
  <si>
    <t>EGRESOS PROGRAMA I</t>
  </si>
  <si>
    <t>DETALLE DEL OBJETO DEL GASTO PROGRAMA II</t>
  </si>
  <si>
    <t>EGRESOS PROGRAMA II</t>
  </si>
  <si>
    <t>DETALLE DEL OBJETO DEL GASTO PROGRAMA III</t>
  </si>
  <si>
    <t>EGRESOS PROGRAMA III</t>
  </si>
  <si>
    <t xml:space="preserve"> CUADRO No. 1</t>
  </si>
  <si>
    <t>INTERESES</t>
  </si>
  <si>
    <t xml:space="preserve">AMORTIZACIÓN </t>
  </si>
  <si>
    <t xml:space="preserve">PRESUPUESTO ORDINARIO </t>
  </si>
  <si>
    <t xml:space="preserve">    Restricción del ejercicio liberal de la profesión (2)</t>
  </si>
  <si>
    <t xml:space="preserve">    Otro plus salarial</t>
  </si>
  <si>
    <t xml:space="preserve">    10% artículo 20 C.M.</t>
  </si>
  <si>
    <t>MUNICIPALIDAD LOS CHILES</t>
  </si>
  <si>
    <t>Código del gasto</t>
  </si>
  <si>
    <t>NOMBRE DEL BENEFICIARIO CLASIFICADO SEGÚN GRUPO Y SUBGRUPO DE EGRESOS</t>
  </si>
  <si>
    <t>FINALIDAD DEL GASTO</t>
  </si>
  <si>
    <t>PARTIDAS, GRUPOS Y SUBPARTIDAS</t>
  </si>
  <si>
    <t>0.01</t>
  </si>
  <si>
    <t xml:space="preserve">REMUNERACIONES BÁSICAS </t>
  </si>
  <si>
    <t>0.02</t>
  </si>
  <si>
    <t>REMUNERACIONES EVENTUALES</t>
  </si>
  <si>
    <t>0.03</t>
  </si>
  <si>
    <t xml:space="preserve">INCENTIVOS SALARIALES                       </t>
  </si>
  <si>
    <t xml:space="preserve">                                      </t>
  </si>
  <si>
    <t>OTROS FONDOS DE CAPITALIZACIÓN</t>
  </si>
  <si>
    <t>1.01</t>
  </si>
  <si>
    <t>1.02</t>
  </si>
  <si>
    <t>SERVICIOS BÁSICOS</t>
  </si>
  <si>
    <t>1.03</t>
  </si>
  <si>
    <t>SERVICIOS COMERCIALES Y FINANCIEROS</t>
  </si>
  <si>
    <t>1.04</t>
  </si>
  <si>
    <t xml:space="preserve">SERVICIOS DE GESTIÓN Y APOYO  </t>
  </si>
  <si>
    <t>1.05</t>
  </si>
  <si>
    <t>GASTOS DE VIAJE Y DE TRANSPORTE</t>
  </si>
  <si>
    <t>1.06</t>
  </si>
  <si>
    <t>SEGUROS, REASEGUROS Y OTRAS OBLIGACIONES</t>
  </si>
  <si>
    <t>Venta Formularios</t>
  </si>
  <si>
    <t>1.07</t>
  </si>
  <si>
    <t xml:space="preserve">CAPACITACIÓN Y PROTOCOLO  </t>
  </si>
  <si>
    <t>1.08</t>
  </si>
  <si>
    <t>MANTENIMIENTO Y REPARACIÓN</t>
  </si>
  <si>
    <t>1.09</t>
  </si>
  <si>
    <t>IMPUESTOS</t>
  </si>
  <si>
    <t>1.99</t>
  </si>
  <si>
    <t>SERVICIOS DIVERSOS</t>
  </si>
  <si>
    <t>2 .01</t>
  </si>
  <si>
    <t>PRODUCTOS QUÍMICOS Y CONEXOS</t>
  </si>
  <si>
    <t>2.02</t>
  </si>
  <si>
    <t>ALIMENTOS Y PRODUCTOS AGROPECUARIOS</t>
  </si>
  <si>
    <t>2.04</t>
  </si>
  <si>
    <t>HERRAMIENTAS, REPUESTOS Y ACCESORIOS</t>
  </si>
  <si>
    <t>2.99</t>
  </si>
  <si>
    <t>ÚTILES,  MATERIALES Y  SUMINISTROS DIVERSOS</t>
  </si>
  <si>
    <t>3.01</t>
  </si>
  <si>
    <t>INTERESES SOBRE TÍTULOS VALORES</t>
  </si>
  <si>
    <t xml:space="preserve">                                                                                                                                                                                             3.02</t>
  </si>
  <si>
    <t xml:space="preserve">INTERESES SOBRE PRÉSTAMOS </t>
  </si>
  <si>
    <t>3.04</t>
  </si>
  <si>
    <t>COMISIONES Y OTROS GASTOS</t>
  </si>
  <si>
    <t xml:space="preserve"> 4.01</t>
  </si>
  <si>
    <t>PRÉSTAMOS</t>
  </si>
  <si>
    <t>4.02</t>
  </si>
  <si>
    <t>ADQUISICIÓN DE VALORES</t>
  </si>
  <si>
    <t>4.99</t>
  </si>
  <si>
    <t>OTROS ACTIVOS FINANCIEROS</t>
  </si>
  <si>
    <t>5.01</t>
  </si>
  <si>
    <t>MAQUINARIA, EQUIPO Y MOBILIARIO</t>
  </si>
  <si>
    <t>5.02</t>
  </si>
  <si>
    <t>CONSTRUCCIONES, ADICIONES Y MEJORAS</t>
  </si>
  <si>
    <t>5.03</t>
  </si>
  <si>
    <t>BIENES PREEXISTENTES</t>
  </si>
  <si>
    <t>5.99</t>
  </si>
  <si>
    <t>BIENES DURADEROS DIVERSOS</t>
  </si>
  <si>
    <t>6.01</t>
  </si>
  <si>
    <t>TRANSFERENCIAS CORRIENTES AL SECTOR PÚBLICO</t>
  </si>
  <si>
    <t>6.02</t>
  </si>
  <si>
    <t>TRANSFERENCIAS CORRIENTES A PERSONAS</t>
  </si>
  <si>
    <t>6.03</t>
  </si>
  <si>
    <t>PRESTACIONES</t>
  </si>
  <si>
    <t>6.06</t>
  </si>
  <si>
    <t xml:space="preserve">OTRAS TRANSFERENCIAS CORRIENTES AL SECTOR PRIVADO </t>
  </si>
  <si>
    <t>6.07</t>
  </si>
  <si>
    <t>TRANSFERENCIAS CORRIENTES AL SECTOR EXTERNO</t>
  </si>
  <si>
    <t>7.01</t>
  </si>
  <si>
    <t>TRANSFERENCIAS DE CAPITAL AL SECTOR PÚBLICO</t>
  </si>
  <si>
    <t>7.05</t>
  </si>
  <si>
    <t>TRANSFERENCIAS DE CAPITAL AL SECTOR EXTERNO</t>
  </si>
  <si>
    <t>8.01</t>
  </si>
  <si>
    <t>AMORTIZACIÓN DE TÍTULOS VALORES</t>
  </si>
  <si>
    <t xml:space="preserve"> 8.02</t>
  </si>
  <si>
    <t>AMORTIZACIÓN DE PRÉSTAMOS</t>
  </si>
  <si>
    <t>9.01</t>
  </si>
  <si>
    <t>CUENTAS ESPECIALES DIVERSAS</t>
  </si>
  <si>
    <t>9.02</t>
  </si>
  <si>
    <t>SUMAS SIN ASIGNACIÓN PRESUPUESTARIA</t>
  </si>
  <si>
    <t>0.01.01</t>
  </si>
  <si>
    <t xml:space="preserve">0.01.02  </t>
  </si>
  <si>
    <t xml:space="preserve">0.01.03  </t>
  </si>
  <si>
    <t xml:space="preserve">0.01.04    </t>
  </si>
  <si>
    <t xml:space="preserve">0.01.05   </t>
  </si>
  <si>
    <t xml:space="preserve">0.02.01    </t>
  </si>
  <si>
    <t xml:space="preserve">0.02.02    </t>
  </si>
  <si>
    <t xml:space="preserve">0.02.03     </t>
  </si>
  <si>
    <t xml:space="preserve">0.02.04     </t>
  </si>
  <si>
    <t xml:space="preserve">0.02.05     </t>
  </si>
  <si>
    <t xml:space="preserve">Sueldos para cargos fijos </t>
  </si>
  <si>
    <t xml:space="preserve">Servicios especiales </t>
  </si>
  <si>
    <t>Jornales</t>
  </si>
  <si>
    <t>Sueldos a base de comisión</t>
  </si>
  <si>
    <t xml:space="preserve">Suplencias </t>
  </si>
  <si>
    <t xml:space="preserve">0.03.01     </t>
  </si>
  <si>
    <t xml:space="preserve">0.03.02     </t>
  </si>
  <si>
    <t xml:space="preserve">0.03.03     </t>
  </si>
  <si>
    <t xml:space="preserve">0.03.04     </t>
  </si>
  <si>
    <t xml:space="preserve">0.03.99     </t>
  </si>
  <si>
    <t xml:space="preserve">Retribución por años servidos </t>
  </si>
  <si>
    <t xml:space="preserve">Restricción al ejercicio liberal de la profesión </t>
  </si>
  <si>
    <t>Decimotercer mes</t>
  </si>
  <si>
    <t>Salario escolar</t>
  </si>
  <si>
    <t xml:space="preserve">Otros incentivos salariales </t>
  </si>
  <si>
    <t xml:space="preserve">0.04   </t>
  </si>
  <si>
    <t xml:space="preserve">0.04.01    </t>
  </si>
  <si>
    <t xml:space="preserve">0.04.02     </t>
  </si>
  <si>
    <t xml:space="preserve">0.04.03    </t>
  </si>
  <si>
    <t xml:space="preserve">0.04.04   </t>
  </si>
  <si>
    <t xml:space="preserve">0.04.05   </t>
  </si>
  <si>
    <t xml:space="preserve">0.05   </t>
  </si>
  <si>
    <t xml:space="preserve">CONTRIBUCIONES PATRONALES A FONDOS DE PENSIONES  Y </t>
  </si>
  <si>
    <t xml:space="preserve">0.05.01     </t>
  </si>
  <si>
    <t xml:space="preserve">0.05.02     </t>
  </si>
  <si>
    <t xml:space="preserve">0.05.03   </t>
  </si>
  <si>
    <t xml:space="preserve">0.05.04     </t>
  </si>
  <si>
    <t xml:space="preserve">0.05.05     </t>
  </si>
  <si>
    <t xml:space="preserve">REMUNERACIONES DIVERSAS </t>
  </si>
  <si>
    <t>0 .99</t>
  </si>
  <si>
    <t xml:space="preserve">Elaborado por Barley Garita Herrera </t>
  </si>
  <si>
    <t xml:space="preserve"> 0. 99. 01        </t>
  </si>
  <si>
    <t xml:space="preserve"> 0 .99. 99     </t>
  </si>
  <si>
    <t xml:space="preserve">Gastos de representación personal            </t>
  </si>
  <si>
    <t>Otras remuneraciones</t>
  </si>
  <si>
    <t xml:space="preserve">Aporte Patronal al Fondo de Capitalización Laboral </t>
  </si>
  <si>
    <t>Contribución Patronal al Seguro de Pensiones  de la Caja costarricense del seguro social</t>
  </si>
  <si>
    <t>Aporte Patronal al Régimen Obligatorio de Pensiones   Complementarias</t>
  </si>
  <si>
    <t>Contribución Patronal a otros fondos administrados por entes publicos</t>
  </si>
  <si>
    <t>Contribución Patronal a fondos administrados por entes  privados</t>
  </si>
  <si>
    <t xml:space="preserve">CONTRIBUCIONES PATRONALES AL DESARROLLO Y LA SEGURIDAD SOCIAL   </t>
  </si>
  <si>
    <t>Inspector Rentas</t>
  </si>
  <si>
    <t>Tesorero Municipal</t>
  </si>
  <si>
    <t>Encargado Catastro</t>
  </si>
  <si>
    <t>Encargado de Servicios</t>
  </si>
  <si>
    <t>Miscelanea</t>
  </si>
  <si>
    <t>DETALLE GENERAL DEL OBJETO DEL GASTO POR PROGRAMA</t>
  </si>
  <si>
    <t>Total</t>
  </si>
  <si>
    <t>Administracion General (01)</t>
  </si>
  <si>
    <t>Auditoria          Interna (02)</t>
  </si>
  <si>
    <t>Registro de Deudas, Fondos y Aportes (04)</t>
  </si>
  <si>
    <t>ACTIVIDADES</t>
  </si>
  <si>
    <t>01</t>
  </si>
  <si>
    <t>02</t>
  </si>
  <si>
    <t>03</t>
  </si>
  <si>
    <t>04</t>
  </si>
  <si>
    <t>05</t>
  </si>
  <si>
    <t>06</t>
  </si>
  <si>
    <t>07</t>
  </si>
  <si>
    <t>09</t>
  </si>
  <si>
    <t>11</t>
  </si>
  <si>
    <t>20</t>
  </si>
  <si>
    <t>26</t>
  </si>
  <si>
    <t>27</t>
  </si>
  <si>
    <t>Recoleccion de Basura (02)</t>
  </si>
  <si>
    <t>Pensiones</t>
  </si>
  <si>
    <t>Decimo tercer mes pensiones</t>
  </si>
  <si>
    <t>3-008-092675</t>
  </si>
  <si>
    <t>Nombre Proyecto</t>
  </si>
  <si>
    <t>CUENTAS</t>
  </si>
  <si>
    <t>Grupo 02</t>
  </si>
  <si>
    <t>3-007-84001</t>
  </si>
  <si>
    <t>3-007-075303</t>
  </si>
  <si>
    <t>Mejoramiento canchas de futbol comunidades</t>
  </si>
  <si>
    <t xml:space="preserve">  TOTAL A PRESUPUESTAR SUELDOS PARA SERVICIOS ESPECIALES</t>
  </si>
  <si>
    <t xml:space="preserve">Asitente Munic. Del area de Conservacion Vial </t>
  </si>
  <si>
    <t>Asistente Tecnico</t>
  </si>
  <si>
    <t>PRO</t>
  </si>
  <si>
    <t>PUESTA</t>
  </si>
  <si>
    <t>NAS</t>
  </si>
  <si>
    <t>SEMA</t>
  </si>
  <si>
    <t>PUESTO</t>
  </si>
  <si>
    <t>Cuota patronal CCSS pensiones</t>
  </si>
  <si>
    <t>Gastos generales de centros educativos</t>
  </si>
  <si>
    <t>Mantenimiento de Caminos y Calles (03)</t>
  </si>
  <si>
    <t>Cementerios (04)</t>
  </si>
  <si>
    <t>Mercado, Plazas y Ferias (07)</t>
  </si>
  <si>
    <t>Educativos Culturales y Deportivos (09)</t>
  </si>
  <si>
    <t>Estaciones y Terminales (11)</t>
  </si>
  <si>
    <t>En Zona Portuaria (20)</t>
  </si>
  <si>
    <t>Desarrollo Urbano(26)</t>
  </si>
  <si>
    <t>PROGRAMA I</t>
  </si>
  <si>
    <t>PROGRAMA II</t>
  </si>
  <si>
    <t>PROGRAMA III</t>
  </si>
  <si>
    <t>Proyecto 1</t>
  </si>
  <si>
    <t>TRANSFERENCIAS CORRIENTES AL SECTOR PUBLICO</t>
  </si>
  <si>
    <t>6.01.01.01</t>
  </si>
  <si>
    <t>Aporte Gobierno Central 1% Ley 7797</t>
  </si>
  <si>
    <t>6.01.02.01</t>
  </si>
  <si>
    <t>6.01.02.02</t>
  </si>
  <si>
    <t>6.01.02.04</t>
  </si>
  <si>
    <t>Aporte Jta. Admi. Reg. Nacional Ley 7797</t>
  </si>
  <si>
    <t>CONAGEBIO 10%</t>
  </si>
  <si>
    <t>6.01.03.01</t>
  </si>
  <si>
    <t>Junta de Educacion(10% Imp. Territorial)</t>
  </si>
  <si>
    <t>6.01.03.02</t>
  </si>
  <si>
    <t>6.01.04.01</t>
  </si>
  <si>
    <t>Transfrencias corrientes</t>
  </si>
  <si>
    <t>Union de Gobierno Locales</t>
  </si>
  <si>
    <t>6.01.04.02</t>
  </si>
  <si>
    <t>6.01.04.03</t>
  </si>
  <si>
    <t>Comité Cantonal Deportes</t>
  </si>
  <si>
    <t>Aporte Fede. Munic. Zona Norte</t>
  </si>
  <si>
    <t>Impuestode Timbres</t>
  </si>
  <si>
    <t>ADMINISTRACION ( 0 )</t>
  </si>
  <si>
    <t>OTROS SERVICIOS NO PERSONALES (0</t>
  </si>
  <si>
    <t>Nombre</t>
  </si>
  <si>
    <t>Monto</t>
  </si>
  <si>
    <t>Gastos Viaje Regidores</t>
  </si>
  <si>
    <t>Alcalde</t>
  </si>
  <si>
    <t>Atencion Supremos poderes</t>
  </si>
  <si>
    <t>Tesorero</t>
  </si>
  <si>
    <t>Servicios Publicos</t>
  </si>
  <si>
    <t>Contador</t>
  </si>
  <si>
    <t>Secretaria</t>
  </si>
  <si>
    <t>Direccion de Servicios y Mantenimiento (27)</t>
  </si>
  <si>
    <t>Impuestos  específicos  a   los servicios   de   diversión   y esparcimiento</t>
  </si>
  <si>
    <t>I</t>
  </si>
  <si>
    <t>Útiles y materiales de oficina y cómputo</t>
  </si>
  <si>
    <t>Útiles y materiales médico, hospitalario y de investigación</t>
  </si>
  <si>
    <t>Productos de papel, cartón e impresos</t>
  </si>
  <si>
    <t>Textiles y vestuario</t>
  </si>
  <si>
    <t>Útiles y materiales de limpieza</t>
  </si>
  <si>
    <t>Útiles y materiales de resguardo y seguridad</t>
  </si>
  <si>
    <t>Útiles y materiales de cocina y comedor</t>
  </si>
  <si>
    <t>Otros útiles, materiales y suministros</t>
  </si>
  <si>
    <t>Suplencias</t>
  </si>
  <si>
    <t>Contribución Patronal al Seguro de Salud de la Caja Costarricense del seguro social</t>
  </si>
  <si>
    <t xml:space="preserve">Contribución Patronal al Instituto Mixto de Ayuda Social </t>
  </si>
  <si>
    <t xml:space="preserve">Contribución Patronal al Instituto Nacional de Aprendizaje  </t>
  </si>
  <si>
    <t>Contribución Patronal al Fondo de Desarrollo Social  y</t>
  </si>
  <si>
    <t xml:space="preserve">Contribución Patronal al Banco Popular y de Desarrollo Comunal   </t>
  </si>
  <si>
    <t>SERVICIOS</t>
  </si>
  <si>
    <t xml:space="preserve">1.01.01    </t>
  </si>
  <si>
    <t xml:space="preserve">1.01.02     </t>
  </si>
  <si>
    <t xml:space="preserve">1.01.03    </t>
  </si>
  <si>
    <t xml:space="preserve">1.01.04     </t>
  </si>
  <si>
    <t xml:space="preserve">1.01.99   </t>
  </si>
  <si>
    <t>Alquiler de edificios, locales y terrenos</t>
  </si>
  <si>
    <t>Alquiler de maquinaria, equipo y mobiliario</t>
  </si>
  <si>
    <t>Alquiler de equipo de cómputo</t>
  </si>
  <si>
    <t>Alquiler y derechos para telecomunicaciones</t>
  </si>
  <si>
    <t>Otros alquileres</t>
  </si>
  <si>
    <t xml:space="preserve">1.02.01   </t>
  </si>
  <si>
    <t xml:space="preserve">1.02.02     </t>
  </si>
  <si>
    <t xml:space="preserve">1.02.03    </t>
  </si>
  <si>
    <t xml:space="preserve">1.02.04    </t>
  </si>
  <si>
    <t xml:space="preserve">1.02.99     </t>
  </si>
  <si>
    <t xml:space="preserve"> Servicio de agua y alcantarillado </t>
  </si>
  <si>
    <t xml:space="preserve"> Servicio de energía eléctrica</t>
  </si>
  <si>
    <t xml:space="preserve"> Servicio de correo</t>
  </si>
  <si>
    <t>Servicio de telecomunicaciones</t>
  </si>
  <si>
    <t xml:space="preserve">Otros servicios básicos </t>
  </si>
  <si>
    <t xml:space="preserve">1.03.01      </t>
  </si>
  <si>
    <t xml:space="preserve">1.03.02      </t>
  </si>
  <si>
    <t xml:space="preserve">1.03.03    </t>
  </si>
  <si>
    <t xml:space="preserve">1.03.04    </t>
  </si>
  <si>
    <t xml:space="preserve">1.03.05     </t>
  </si>
  <si>
    <t xml:space="preserve">1.03.06     </t>
  </si>
  <si>
    <t xml:space="preserve">Información </t>
  </si>
  <si>
    <t xml:space="preserve">Publicidad y propaganda </t>
  </si>
  <si>
    <t>Impresión, encuadernación y otros</t>
  </si>
  <si>
    <t>Transporte de bienes</t>
  </si>
  <si>
    <t>Servicios aduaneros</t>
  </si>
  <si>
    <t>Recargo del 5% Ley Infraccion</t>
  </si>
  <si>
    <t>Patentes de Licores</t>
  </si>
  <si>
    <t>Comisiones y gastos por servicios financieros y comerciales</t>
  </si>
  <si>
    <t>Servicios de transferencia electrónica de información</t>
  </si>
  <si>
    <t xml:space="preserve">1.03.07      </t>
  </si>
  <si>
    <t xml:space="preserve">1.04.01     </t>
  </si>
  <si>
    <t xml:space="preserve">1.04.02   </t>
  </si>
  <si>
    <t xml:space="preserve">1.04.03     </t>
  </si>
  <si>
    <t xml:space="preserve">1.04.04    </t>
  </si>
  <si>
    <t xml:space="preserve">1.04.05    </t>
  </si>
  <si>
    <t xml:space="preserve">1.04.06     </t>
  </si>
  <si>
    <t xml:space="preserve">1.04.99   </t>
  </si>
  <si>
    <t>Servicios médicos y de laboratorio</t>
  </si>
  <si>
    <t xml:space="preserve">Servicios jurídicos </t>
  </si>
  <si>
    <t>Servicios de ingeniería</t>
  </si>
  <si>
    <t>Servicios en ciencias económicas y sociales</t>
  </si>
  <si>
    <t>Servicios de desarrollo de sistemas informáticos</t>
  </si>
  <si>
    <t xml:space="preserve">Servicios generales </t>
  </si>
  <si>
    <t>Otros servicios de gestión y apoyo</t>
  </si>
  <si>
    <t xml:space="preserve">1.05.01    </t>
  </si>
  <si>
    <t xml:space="preserve">1.05.02     </t>
  </si>
  <si>
    <t xml:space="preserve">1.05.03     </t>
  </si>
  <si>
    <t xml:space="preserve">1.05.04     </t>
  </si>
  <si>
    <t xml:space="preserve">Transporte dentro del país </t>
  </si>
  <si>
    <t xml:space="preserve">Viáticos dentro del país </t>
  </si>
  <si>
    <t xml:space="preserve">Transporte en el exterior </t>
  </si>
  <si>
    <t xml:space="preserve">Viáticos en el exterior </t>
  </si>
  <si>
    <t xml:space="preserve">1.06.01    </t>
  </si>
  <si>
    <t xml:space="preserve">1.06.02   </t>
  </si>
  <si>
    <t>Proveedor</t>
  </si>
  <si>
    <t>Chofer maquinaria pesada</t>
  </si>
  <si>
    <t xml:space="preserve">1.06.03   </t>
  </si>
  <si>
    <t xml:space="preserve">Seguros </t>
  </si>
  <si>
    <t xml:space="preserve">Reaseguros </t>
  </si>
  <si>
    <t>Obligaciones por contratos de seguros</t>
  </si>
  <si>
    <t xml:space="preserve">1.07.01     </t>
  </si>
  <si>
    <t xml:space="preserve">1.07.02     </t>
  </si>
  <si>
    <t xml:space="preserve">1.07.03    </t>
  </si>
  <si>
    <t>Actividades de capacitación</t>
  </si>
  <si>
    <t xml:space="preserve">Actividades protocolarias y sociales </t>
  </si>
  <si>
    <t>Gastos de representación institucional</t>
  </si>
  <si>
    <t xml:space="preserve">1.08.01    </t>
  </si>
  <si>
    <t xml:space="preserve">1.08.02    </t>
  </si>
  <si>
    <t xml:space="preserve">1.08.03    </t>
  </si>
  <si>
    <t xml:space="preserve">1.08.04    </t>
  </si>
  <si>
    <t xml:space="preserve">1.08.05     </t>
  </si>
  <si>
    <t xml:space="preserve">1.08.06     </t>
  </si>
  <si>
    <t xml:space="preserve">1.08.07    </t>
  </si>
  <si>
    <t xml:space="preserve">1.08.08    </t>
  </si>
  <si>
    <t xml:space="preserve">1.08.99    </t>
  </si>
  <si>
    <t>Mantenimiento de edificios y locales</t>
  </si>
  <si>
    <t>Mantenimiento de vías de comunicación</t>
  </si>
  <si>
    <t>Mantenimiento de instalaciones y otras obras</t>
  </si>
  <si>
    <t>Mantenimiento y reparación de equipo de transporte</t>
  </si>
  <si>
    <t>Mantenimiento y reparación de maquinaria y equipo de  produccion</t>
  </si>
  <si>
    <t>Mantenimiento y reparación de equipo y mobiliario de oficina</t>
  </si>
  <si>
    <t xml:space="preserve">Mantenimiento y reparación de equipo de cómputo y  sistemas de informacion </t>
  </si>
  <si>
    <t>Mantenimiento y reparación de otros equipos</t>
  </si>
  <si>
    <t>Mantenimiento y reparación de equipo de comunicación</t>
  </si>
  <si>
    <t xml:space="preserve">1.09.01    </t>
  </si>
  <si>
    <t xml:space="preserve">1.09.02    </t>
  </si>
  <si>
    <t xml:space="preserve">1.09.03     </t>
  </si>
  <si>
    <t xml:space="preserve">1.09.99     </t>
  </si>
  <si>
    <t>Impuestos sobre ingresos y utilidades</t>
  </si>
  <si>
    <t xml:space="preserve">Impuestos sobre bienes inmuebles          </t>
  </si>
  <si>
    <t>Impuestos de patentes</t>
  </si>
  <si>
    <t>Otros impuestos</t>
  </si>
  <si>
    <t xml:space="preserve">1.99.01      </t>
  </si>
  <si>
    <t>Taller, capacitaciones</t>
  </si>
  <si>
    <t xml:space="preserve">1.99.02      </t>
  </si>
  <si>
    <t xml:space="preserve">1.99.03      </t>
  </si>
  <si>
    <t xml:space="preserve">1.99.04   </t>
  </si>
  <si>
    <t xml:space="preserve">1.99.05     </t>
  </si>
  <si>
    <t xml:space="preserve">1.99.99    </t>
  </si>
  <si>
    <t>Equipo y programas computo</t>
  </si>
  <si>
    <t>Servicios de regulación</t>
  </si>
  <si>
    <t>Intereses moratorios y multas</t>
  </si>
  <si>
    <t>Gastos de oficinas en el exterior</t>
  </si>
  <si>
    <t>Gastos de misiones especiales en el exterior</t>
  </si>
  <si>
    <t>Deducibles</t>
  </si>
  <si>
    <t>Otros servicios no especificados</t>
  </si>
  <si>
    <t xml:space="preserve">MATERIALES Y SUMINISTROS </t>
  </si>
  <si>
    <t xml:space="preserve">2.01.01     </t>
  </si>
  <si>
    <t xml:space="preserve">2.01.02     </t>
  </si>
  <si>
    <t xml:space="preserve">2.01.03    </t>
  </si>
  <si>
    <t>Tintas, pinturas y diluyentes</t>
  </si>
  <si>
    <t>Otros utiles materiales y suministros</t>
  </si>
  <si>
    <t>Alquiler maquinaria, equipo y mobiliario</t>
  </si>
  <si>
    <t>Otros prod. Quimicos</t>
  </si>
  <si>
    <t>Mater. Y prod. Metalicos</t>
  </si>
  <si>
    <t>Mater. Y prod. Minerales y asfalticos</t>
  </si>
  <si>
    <t>Mater. Y prod.elctr.telef. Y computo</t>
  </si>
  <si>
    <t>Mater. Y prod. De vidrio</t>
  </si>
  <si>
    <t>Mater. Y prod. Plasticos</t>
  </si>
  <si>
    <t>Otros Mater. Y prod.de uso en la construccion</t>
  </si>
  <si>
    <t>Utiles y mat. Oficina</t>
  </si>
  <si>
    <t>Textilesy vestuario</t>
  </si>
  <si>
    <t>Obras maritomas y fluviales</t>
  </si>
  <si>
    <t>Materiales y productos metalicos</t>
  </si>
  <si>
    <t xml:space="preserve">2.01.04     </t>
  </si>
  <si>
    <t xml:space="preserve">2.01.99      </t>
  </si>
  <si>
    <t xml:space="preserve">Combustibles y lubricantes </t>
  </si>
  <si>
    <t>Productos farmacéuticos y medicinales</t>
  </si>
  <si>
    <t>Productos veterinarios</t>
  </si>
  <si>
    <t xml:space="preserve">Tintas, pinturas y diluyentes </t>
  </si>
  <si>
    <t>Otros productos químicos</t>
  </si>
  <si>
    <t xml:space="preserve">Productos pecuarios y otras especies </t>
  </si>
  <si>
    <t>Productos agroforestales</t>
  </si>
  <si>
    <t xml:space="preserve">Alimentos y bebidas </t>
  </si>
  <si>
    <t>Alimentos para animales</t>
  </si>
  <si>
    <t xml:space="preserve">2.02.01    </t>
  </si>
  <si>
    <t xml:space="preserve">2.02.02      </t>
  </si>
  <si>
    <t xml:space="preserve">2.02.03      </t>
  </si>
  <si>
    <t xml:space="preserve">2.02.04    </t>
  </si>
  <si>
    <t xml:space="preserve">2.03  </t>
  </si>
  <si>
    <t>MATERIALES Y PRODUCTOS DE USO EN LA CONSTRUCCIÓN Y MANTENIMIENTO</t>
  </si>
  <si>
    <t xml:space="preserve">2.03.01      </t>
  </si>
  <si>
    <t xml:space="preserve">2.03.02      </t>
  </si>
  <si>
    <t xml:space="preserve">2.03.03     </t>
  </si>
  <si>
    <t xml:space="preserve">2.03.04    </t>
  </si>
  <si>
    <t xml:space="preserve">2.03.05   </t>
  </si>
  <si>
    <t xml:space="preserve">2.03.06      </t>
  </si>
  <si>
    <t xml:space="preserve">2.03.99      </t>
  </si>
  <si>
    <t xml:space="preserve">Materiales y productos metálicos </t>
  </si>
  <si>
    <t xml:space="preserve">Materiales y productos minerales y asfálticos </t>
  </si>
  <si>
    <t>Madera y sus derivados</t>
  </si>
  <si>
    <t>Materiales y productos eléctricos, telefónicos y de cómputo</t>
  </si>
  <si>
    <t>Materiales y productos de vidrio</t>
  </si>
  <si>
    <t>Materiales y productos de plástico</t>
  </si>
  <si>
    <t>Otros materiales y productos de uso en la construcción</t>
  </si>
  <si>
    <t xml:space="preserve">2.04.01    </t>
  </si>
  <si>
    <t xml:space="preserve">2.04.02     </t>
  </si>
  <si>
    <t>Herramientas e instrumentos</t>
  </si>
  <si>
    <t>Repuestos y accesorios</t>
  </si>
  <si>
    <t xml:space="preserve">2.05    </t>
  </si>
  <si>
    <t>BIENES PARA LA PRODUCCIÓN Y COMERCIALIZACIÓN</t>
  </si>
  <si>
    <t xml:space="preserve">2.05.01      </t>
  </si>
  <si>
    <t xml:space="preserve">2.05.02     </t>
  </si>
  <si>
    <t xml:space="preserve">2.05.03      </t>
  </si>
  <si>
    <t xml:space="preserve">2.05.99     </t>
  </si>
  <si>
    <t>Materia prima</t>
  </si>
  <si>
    <t>Productos terminados</t>
  </si>
  <si>
    <t>Energía eléctrica</t>
  </si>
  <si>
    <t xml:space="preserve">Otros bienes para la producción y comercialización </t>
  </si>
  <si>
    <t xml:space="preserve">2.99.01      </t>
  </si>
  <si>
    <t xml:space="preserve">2.99.02      </t>
  </si>
  <si>
    <t xml:space="preserve">2.99.03   </t>
  </si>
  <si>
    <t xml:space="preserve">2.99.04      </t>
  </si>
  <si>
    <t xml:space="preserve">2.99.05      </t>
  </si>
  <si>
    <t xml:space="preserve">2.99.06      </t>
  </si>
  <si>
    <t xml:space="preserve">2.99.07     </t>
  </si>
  <si>
    <t xml:space="preserve">2.99.99     </t>
  </si>
  <si>
    <t xml:space="preserve">3.01.01    </t>
  </si>
  <si>
    <t xml:space="preserve">3.01.02     </t>
  </si>
  <si>
    <t xml:space="preserve">3.01.03   </t>
  </si>
  <si>
    <t xml:space="preserve">3.01.04  </t>
  </si>
  <si>
    <t xml:space="preserve">Intereses sobre títulos valores internos de corto plazo </t>
  </si>
  <si>
    <t>Intereses sobre títulos valores internos de largo plazo</t>
  </si>
  <si>
    <t xml:space="preserve">Intereses sobre títulos valores del sector externo de corto  plazo </t>
  </si>
  <si>
    <t>Intereses sobre títulos valores del sector externo de largo plazo</t>
  </si>
  <si>
    <t xml:space="preserve">3.02.01     </t>
  </si>
  <si>
    <t xml:space="preserve">3.02.02    </t>
  </si>
  <si>
    <t xml:space="preserve">3.02.03     </t>
  </si>
  <si>
    <t xml:space="preserve">3.02.04    </t>
  </si>
  <si>
    <t xml:space="preserve">3.02.05     </t>
  </si>
  <si>
    <t xml:space="preserve">3.02.06     </t>
  </si>
  <si>
    <t xml:space="preserve">3.02.07    </t>
  </si>
  <si>
    <t xml:space="preserve">3.02.08     </t>
  </si>
  <si>
    <t xml:space="preserve">Intereses sobre préstamos del Gobierno Central  </t>
  </si>
  <si>
    <t>Intereses sobre préstamos de Órganos Desconcentrados</t>
  </si>
  <si>
    <t>Intereses sobre préstamos de Instituciones Descentralizadas  no Empresariales</t>
  </si>
  <si>
    <t>Intereses sobre préstamos de Gobiernos Locales</t>
  </si>
  <si>
    <t>Intereses sobre préstamos de  Instituciones Públicas Financieras</t>
  </si>
  <si>
    <t>Intereses sobre préstamos de Empresas Públicas no Financieras</t>
  </si>
  <si>
    <t>Intereses sobre préstamos del Sector Privado</t>
  </si>
  <si>
    <t>Aporte Fondo Parques Nacionales 70%</t>
  </si>
  <si>
    <t>Proteccion del Medio Ambiente (25)</t>
  </si>
  <si>
    <t>Otros Impuestos a la propiedad</t>
  </si>
  <si>
    <t>Intereses sobre préstamos del Sector Externo</t>
  </si>
  <si>
    <t xml:space="preserve">3.03   </t>
  </si>
  <si>
    <t>INTERESES SOBRE OTRAS OBLIGACIONES</t>
  </si>
  <si>
    <t>Intereses sobre depósitos bancarios a la vista</t>
  </si>
  <si>
    <t>Intereses sobre otras obligaciones</t>
  </si>
  <si>
    <t xml:space="preserve">3.03.01     </t>
  </si>
  <si>
    <t xml:space="preserve">3.03.99     </t>
  </si>
  <si>
    <t xml:space="preserve">3.04.01   </t>
  </si>
  <si>
    <t xml:space="preserve">3.04.02 </t>
  </si>
  <si>
    <t>5.02.01</t>
  </si>
  <si>
    <t xml:space="preserve">3.04.03     </t>
  </si>
  <si>
    <t xml:space="preserve">3.04.04 </t>
  </si>
  <si>
    <t xml:space="preserve">3.04.05     </t>
  </si>
  <si>
    <t>Comisiones y otros gastos sobre títulos valores internos</t>
  </si>
  <si>
    <t>Comisiones  y otros gastos sobre títulos valores del sector externo</t>
  </si>
  <si>
    <t>Comisiones y otros gastos sobre préstamos internos</t>
  </si>
  <si>
    <t>Comisiones y otros gastos sobre préstamos del sector externo</t>
  </si>
  <si>
    <t>Descripción</t>
  </si>
  <si>
    <t>Justificacion de ingresos y Egresos...................................................................</t>
  </si>
  <si>
    <t>Combustible y lubricantes</t>
  </si>
  <si>
    <t>5.02.02</t>
  </si>
  <si>
    <t>Transporte de Bienes</t>
  </si>
  <si>
    <t>Progrma III</t>
  </si>
  <si>
    <t>PROGRAMAS I, II, III</t>
  </si>
  <si>
    <t>Vias de comunicion terrestre</t>
  </si>
  <si>
    <t>Seccion de Ingresos ………............................................................................</t>
  </si>
  <si>
    <t xml:space="preserve">II </t>
  </si>
  <si>
    <t>25</t>
  </si>
  <si>
    <t>Decimo Tercer Mes</t>
  </si>
  <si>
    <t>Diferencias por tipo de cambio</t>
  </si>
  <si>
    <t xml:space="preserve">4.01.01       </t>
  </si>
  <si>
    <t xml:space="preserve">4.01.02      </t>
  </si>
  <si>
    <t xml:space="preserve">4.01.03      </t>
  </si>
  <si>
    <t xml:space="preserve">4.01.04      </t>
  </si>
  <si>
    <t xml:space="preserve">4.01.05      </t>
  </si>
  <si>
    <t xml:space="preserve">4.01.06      </t>
  </si>
  <si>
    <t xml:space="preserve">4.01.07       </t>
  </si>
  <si>
    <t xml:space="preserve">4.01.08       </t>
  </si>
  <si>
    <t xml:space="preserve">Préstamos al Gobierno Central </t>
  </si>
  <si>
    <t>Préstamos a Órganos Desconcentrados</t>
  </si>
  <si>
    <t>Préstamos a Instituciones Descentralizadas no Empresariales</t>
  </si>
  <si>
    <t>Préstamos a Gobiernos Locales</t>
  </si>
  <si>
    <t>Préstamos a Empresas Públicas no Financieras</t>
  </si>
  <si>
    <t>Préstamos a Instituciones Públicas Financieras</t>
  </si>
  <si>
    <t>Préstamos al Sector Privado</t>
  </si>
  <si>
    <t>Préstamos al  Sector Externo</t>
  </si>
  <si>
    <t xml:space="preserve">4.02.01     </t>
  </si>
  <si>
    <t xml:space="preserve">4.02.02   </t>
  </si>
  <si>
    <t xml:space="preserve">4.02.03     </t>
  </si>
  <si>
    <t xml:space="preserve">4.02.04  </t>
  </si>
  <si>
    <t xml:space="preserve">4.02.05     </t>
  </si>
  <si>
    <t xml:space="preserve">4.02.06    </t>
  </si>
  <si>
    <t xml:space="preserve">4.02.07     </t>
  </si>
  <si>
    <t>4.02.08</t>
  </si>
  <si>
    <t xml:space="preserve">Adquisición de valores del Gobierno Central </t>
  </si>
  <si>
    <t>Adquisición de valores de Órganos Desconcentrados</t>
  </si>
  <si>
    <t>Adquisición de valores de Instituciones Descentralizadas no Empresariales</t>
  </si>
  <si>
    <t>Adquisición de valores de Gobiernos Locales</t>
  </si>
  <si>
    <t>Adquisición de valores de Empresas Públicas no Financieras</t>
  </si>
  <si>
    <t xml:space="preserve">Adquisición de valores de Instituciones Públicas  Financieras </t>
  </si>
  <si>
    <t>Adquisición de valores del Sector Privado</t>
  </si>
  <si>
    <t>Adquisición de valores del Sector Externo</t>
  </si>
  <si>
    <t xml:space="preserve">4.99.01    </t>
  </si>
  <si>
    <t xml:space="preserve">4.99.99     </t>
  </si>
  <si>
    <t>Aportes de Capital a Empresas</t>
  </si>
  <si>
    <t>Otros activos financieros</t>
  </si>
  <si>
    <t xml:space="preserve">BIENES DURADEROS </t>
  </si>
  <si>
    <t xml:space="preserve">5.01.01    </t>
  </si>
  <si>
    <t xml:space="preserve">5.01.02    </t>
  </si>
  <si>
    <t xml:space="preserve">5.01.03    </t>
  </si>
  <si>
    <t xml:space="preserve">5.01.04    </t>
  </si>
  <si>
    <t xml:space="preserve">5.01.05    </t>
  </si>
  <si>
    <t xml:space="preserve">5.01.06     </t>
  </si>
  <si>
    <t xml:space="preserve">5.01.07    </t>
  </si>
  <si>
    <t xml:space="preserve">5.01.99    </t>
  </si>
  <si>
    <t>Maquinaria y equipo para la producción</t>
  </si>
  <si>
    <t>Equipo de transporte</t>
  </si>
  <si>
    <t>Equipo de comunicación</t>
  </si>
  <si>
    <t>Equipo y mobiliario de oficina</t>
  </si>
  <si>
    <t>Equipo y programas de  cómputo</t>
  </si>
  <si>
    <t>Equipo sanitario, de laboratorio e investigación</t>
  </si>
  <si>
    <t>Equipo y mobiliario educacional, deportivo y recreativo</t>
  </si>
  <si>
    <t>Maquinaria y equipo diverso</t>
  </si>
  <si>
    <t xml:space="preserve">5.02.01     </t>
  </si>
  <si>
    <t xml:space="preserve">5.02.02      </t>
  </si>
  <si>
    <t xml:space="preserve">5.02.03     </t>
  </si>
  <si>
    <t xml:space="preserve">5.02.04    </t>
  </si>
  <si>
    <t xml:space="preserve">5.02.05    </t>
  </si>
  <si>
    <t xml:space="preserve">5.02.06      </t>
  </si>
  <si>
    <t xml:space="preserve">5.02.07      </t>
  </si>
  <si>
    <t xml:space="preserve">5.02.99     </t>
  </si>
  <si>
    <t xml:space="preserve">Edificios </t>
  </si>
  <si>
    <t>Vías de comunicación terrestre</t>
  </si>
  <si>
    <t>Vías férreas</t>
  </si>
  <si>
    <t>Obras marítimas y fluviales</t>
  </si>
  <si>
    <t>Aeropuertos</t>
  </si>
  <si>
    <t>Obras urbanísticas</t>
  </si>
  <si>
    <t>Instalaciones</t>
  </si>
  <si>
    <t>Otras construcciones, adiciones y mejoras</t>
  </si>
  <si>
    <t xml:space="preserve">5.03.01    </t>
  </si>
  <si>
    <t xml:space="preserve">5.03.02     </t>
  </si>
  <si>
    <t xml:space="preserve">5.03.99     </t>
  </si>
  <si>
    <t>Terrenos</t>
  </si>
  <si>
    <t xml:space="preserve">Edificios preexistentes </t>
  </si>
  <si>
    <t>Otras obras preexistentes</t>
  </si>
  <si>
    <t xml:space="preserve">5.99.01    </t>
  </si>
  <si>
    <t xml:space="preserve">5.99.02    </t>
  </si>
  <si>
    <t xml:space="preserve">5.99.03    </t>
  </si>
  <si>
    <t xml:space="preserve">5.99.99    </t>
  </si>
  <si>
    <t xml:space="preserve">Semovientes </t>
  </si>
  <si>
    <t>Piezas y obras de colección</t>
  </si>
  <si>
    <t xml:space="preserve">Bienes intangibles </t>
  </si>
  <si>
    <t>Otros bienes duraderos</t>
  </si>
  <si>
    <t xml:space="preserve">TRANSFERENCIAS CORRIENTES </t>
  </si>
  <si>
    <t xml:space="preserve">6.02.01    </t>
  </si>
  <si>
    <t xml:space="preserve">6.02.02     </t>
  </si>
  <si>
    <t xml:space="preserve">6.02.03    </t>
  </si>
  <si>
    <t xml:space="preserve">6.02.99       </t>
  </si>
  <si>
    <t xml:space="preserve">Becas a funcionarios </t>
  </si>
  <si>
    <t>Becas a terceras personas</t>
  </si>
  <si>
    <t xml:space="preserve">Ayudas a funcionarios </t>
  </si>
  <si>
    <t>Otras transferencias a personas</t>
  </si>
  <si>
    <t xml:space="preserve">6.03.01   </t>
  </si>
  <si>
    <t xml:space="preserve">6.03.02   </t>
  </si>
  <si>
    <t xml:space="preserve">6.03.03   </t>
  </si>
  <si>
    <t xml:space="preserve">6.03.04 </t>
  </si>
  <si>
    <t xml:space="preserve">6.03.05     </t>
  </si>
  <si>
    <t xml:space="preserve">6.03.99    </t>
  </si>
  <si>
    <t xml:space="preserve">Prestaciones legales </t>
  </si>
  <si>
    <t xml:space="preserve">Pensiones y jubilaciones contributivas </t>
  </si>
  <si>
    <t xml:space="preserve">Pensiones   no contributivas </t>
  </si>
  <si>
    <t>Decimotercer mes de pensiones y jubilaciones</t>
  </si>
  <si>
    <t>Combustibles y Lubricantes</t>
  </si>
  <si>
    <t>Cuota patronal de pensiones y jubilaciones, contributivas y no contributivas</t>
  </si>
  <si>
    <t>Otras prestaciones a terceras personas</t>
  </si>
  <si>
    <t xml:space="preserve">6.04 </t>
  </si>
  <si>
    <t>TRANSFERENCIAS CORRIENTES A ENTIDADES PRIVADAS SIN  FINES DE LUCRO</t>
  </si>
  <si>
    <t xml:space="preserve">6.04.01    </t>
  </si>
  <si>
    <t xml:space="preserve">6.04.02  </t>
  </si>
  <si>
    <t xml:space="preserve">6.04.03  </t>
  </si>
  <si>
    <t>6.04.04</t>
  </si>
  <si>
    <t>Transferencias corrientes a asociaciones</t>
  </si>
  <si>
    <t xml:space="preserve">Transferencias corrientes a fundaciones          </t>
  </si>
  <si>
    <t>Transferencias corrientes a cooperativas</t>
  </si>
  <si>
    <t>Transferencias corrientes a otras entidades privadas sin fines de lucro</t>
  </si>
  <si>
    <t xml:space="preserve">6.05 </t>
  </si>
  <si>
    <t>TRANSFERENCIAS CORRIENTES A EMPRESAS PRIVADAS</t>
  </si>
  <si>
    <t>Transferencias corrientes a empresas privadas</t>
  </si>
  <si>
    <t>6.05.01</t>
  </si>
  <si>
    <t xml:space="preserve">6.06.01    </t>
  </si>
  <si>
    <t xml:space="preserve">6.06.02      </t>
  </si>
  <si>
    <t>Indemnizaciones</t>
  </si>
  <si>
    <t>Reintegros o devoluciones</t>
  </si>
  <si>
    <t xml:space="preserve">6.07.01    </t>
  </si>
  <si>
    <t xml:space="preserve">6.07.02     </t>
  </si>
  <si>
    <t xml:space="preserve">Transferencias corrientes a organismos internacionales </t>
  </si>
  <si>
    <t xml:space="preserve">Otras transferencias corrientes al sector externo  </t>
  </si>
  <si>
    <t xml:space="preserve">6.01.01    </t>
  </si>
  <si>
    <t xml:space="preserve">6.01.02    </t>
  </si>
  <si>
    <t xml:space="preserve">6.01.03   </t>
  </si>
  <si>
    <t xml:space="preserve">6.01.04     </t>
  </si>
  <si>
    <t xml:space="preserve">6.01.05  </t>
  </si>
  <si>
    <t xml:space="preserve">6.01.06   </t>
  </si>
  <si>
    <t xml:space="preserve">6.01.07    </t>
  </si>
  <si>
    <t xml:space="preserve">6.01.08  </t>
  </si>
  <si>
    <t xml:space="preserve">6.01.09  </t>
  </si>
  <si>
    <t xml:space="preserve">Transferencias corrientes al Gobierno Central </t>
  </si>
  <si>
    <t xml:space="preserve">Transferencias corrientes a Órganos Desconcentrados </t>
  </si>
  <si>
    <t xml:space="preserve"> Transferencias corrientes a Instituciones Descentralizadas no </t>
  </si>
  <si>
    <t>Transferencias corrientes a Gobiernos Locales</t>
  </si>
  <si>
    <t xml:space="preserve">Transferencias corrientes a Empresas Públicas no Financieras </t>
  </si>
  <si>
    <t xml:space="preserve">Transferencias corrientes a Instituciones Públicas Financieras  </t>
  </si>
  <si>
    <t>Dividendos</t>
  </si>
  <si>
    <t>Fondos en fideicomiso para gasto corriente</t>
  </si>
  <si>
    <t>Impuestos  por transferir</t>
  </si>
  <si>
    <t xml:space="preserve">TRANSFERENCIAS DE CAPITAL </t>
  </si>
  <si>
    <t xml:space="preserve">7.01.01    </t>
  </si>
  <si>
    <t xml:space="preserve">7.01.02    </t>
  </si>
  <si>
    <t xml:space="preserve">7.01.03   </t>
  </si>
  <si>
    <t xml:space="preserve">7.01.04    </t>
  </si>
  <si>
    <t xml:space="preserve">7.01.06  </t>
  </si>
  <si>
    <t xml:space="preserve">7.01.07   </t>
  </si>
  <si>
    <t xml:space="preserve">Transferencias  de capital al Gobierno Central </t>
  </si>
  <si>
    <t>Transferencias de capital  a Órganos Desconcentrados</t>
  </si>
  <si>
    <t>Transferencias de capital a Instituciones Descentralizadas no Empresariales</t>
  </si>
  <si>
    <t>Transferencias de capital a Gobiernos Locales</t>
  </si>
  <si>
    <t xml:space="preserve">Transferencias de capital a Empresas Públicas no Financieras </t>
  </si>
  <si>
    <t xml:space="preserve">Transferencias de capital a Instituciones Públicas Financieras </t>
  </si>
  <si>
    <t>Fondos en fideicomiso para gasto de capital</t>
  </si>
  <si>
    <t xml:space="preserve">7.02  </t>
  </si>
  <si>
    <t>TRANSFERENCIAS DE CAPITAL A PERSONAS</t>
  </si>
  <si>
    <t>Transferencias de capital a personas</t>
  </si>
  <si>
    <t>7.02.01</t>
  </si>
  <si>
    <t>TRANSFERENCIAS DE CAPITAL A ENTIDADES PRIVADAS SIN  FINES DE LUCRO</t>
  </si>
  <si>
    <t xml:space="preserve">7.03.01     </t>
  </si>
  <si>
    <t xml:space="preserve">7.03.02     </t>
  </si>
  <si>
    <t xml:space="preserve">7.03.03    </t>
  </si>
  <si>
    <t xml:space="preserve">7.03.99  </t>
  </si>
  <si>
    <t>Transferencias de capital a asociaciones</t>
  </si>
  <si>
    <t xml:space="preserve">Transferencias de capital a fundaciones   </t>
  </si>
  <si>
    <t>Transferencias de capital a cooperativas</t>
  </si>
  <si>
    <t>Transferencias de capital a otras entidades privadas sin fines de lucro</t>
  </si>
  <si>
    <t>7.04</t>
  </si>
  <si>
    <t>TRANSFERENCIAS DE CAPITAL A EMPRESAS PRIVADAS</t>
  </si>
  <si>
    <t>Transferencias de capital a empresas privadas</t>
  </si>
  <si>
    <t xml:space="preserve">7.04.01   </t>
  </si>
  <si>
    <t xml:space="preserve">7.05.01   </t>
  </si>
  <si>
    <t xml:space="preserve">7.05.02   </t>
  </si>
  <si>
    <t xml:space="preserve">Transferencias de capital  a organismos internacionales </t>
  </si>
  <si>
    <t xml:space="preserve">Otras transferencias de capital al sector externo </t>
  </si>
  <si>
    <t>AMORTIZACION</t>
  </si>
  <si>
    <t xml:space="preserve">8.01.01  </t>
  </si>
  <si>
    <t>8.01.02</t>
  </si>
  <si>
    <t xml:space="preserve">8.01.03 </t>
  </si>
  <si>
    <t xml:space="preserve">8.01.04   </t>
  </si>
  <si>
    <t>Amortización de títulos valores internos de corto plazo</t>
  </si>
  <si>
    <t>Amortización de títulos valores internos de largo plazo</t>
  </si>
  <si>
    <t>Amortización de títulos valores del sector externo de corto    plazo</t>
  </si>
  <si>
    <t>Amortización de títulos valores del sector externo de largo plazo</t>
  </si>
  <si>
    <t xml:space="preserve">8.02.01     </t>
  </si>
  <si>
    <t xml:space="preserve">8.02.02      </t>
  </si>
  <si>
    <t xml:space="preserve">8.02.03     </t>
  </si>
  <si>
    <t xml:space="preserve">8.02.04     </t>
  </si>
  <si>
    <t xml:space="preserve">8.02.05    </t>
  </si>
  <si>
    <t xml:space="preserve">8.02.06          </t>
  </si>
  <si>
    <t xml:space="preserve">8.02.07    </t>
  </si>
  <si>
    <t xml:space="preserve">8.02.08      </t>
  </si>
  <si>
    <t xml:space="preserve">Amortización de préstamos del  Gobierno Central </t>
  </si>
  <si>
    <t>Amortización de préstamos de Órganos Desconcentrados</t>
  </si>
  <si>
    <t>Amortización de préstamos de Instituciones Descentralizadas no empresariales</t>
  </si>
  <si>
    <t>Amortización de préstamos de  Gobiernos Locales</t>
  </si>
  <si>
    <t>Amortización de préstamos de Instituciones Públicas Financieras</t>
  </si>
  <si>
    <t>Amortización de préstamos del Sector Privado</t>
  </si>
  <si>
    <t>Amortización de préstamos del Sector Externo</t>
  </si>
  <si>
    <t>Amortización de préstamos de Empresas Públicas   no        Financieras</t>
  </si>
  <si>
    <t xml:space="preserve">CUENTAS ESPECIALES  </t>
  </si>
  <si>
    <t xml:space="preserve">9.01.01 </t>
  </si>
  <si>
    <t>Alimentos y Bebidas</t>
  </si>
  <si>
    <t>Utiles de limpieza</t>
  </si>
  <si>
    <t xml:space="preserve">Gastos confidenciales  </t>
  </si>
  <si>
    <t>Sumas libres sin asignación presupuestaria</t>
  </si>
  <si>
    <t>Sumas con destino específico sin asignación presupuestaria</t>
  </si>
  <si>
    <t xml:space="preserve">9.02.01  </t>
  </si>
  <si>
    <t xml:space="preserve">9.02.02  </t>
  </si>
  <si>
    <t>Tiempo extraordinario</t>
  </si>
  <si>
    <t>Recargo de funciones</t>
  </si>
  <si>
    <t>Disponibilidad laboral</t>
  </si>
  <si>
    <t>Compensación de vacaciones</t>
  </si>
  <si>
    <t>Dietas</t>
  </si>
  <si>
    <t xml:space="preserve">1.0.0.0.00.00.0.0.000   </t>
  </si>
  <si>
    <t>1.1.2.1.01.00.0.0.000</t>
  </si>
  <si>
    <t>Impuesto sobre la propiedad de bienes inmuebles, Ley No. 7729</t>
  </si>
  <si>
    <t xml:space="preserve">1.1.0.0.00.00.0.0.000  </t>
  </si>
  <si>
    <t xml:space="preserve">1.1.2.0.00.00.0.0.000   </t>
  </si>
  <si>
    <t xml:space="preserve">1.1.2.1.00.00.0.0.000   </t>
  </si>
  <si>
    <t xml:space="preserve">1.1.2.9.00.00.0.0.000   </t>
  </si>
  <si>
    <t xml:space="preserve">1.1.3.0.00.00.0.0.000   </t>
  </si>
  <si>
    <t xml:space="preserve">1.1.3.2.00.00.0.0.000   </t>
  </si>
  <si>
    <t xml:space="preserve">1.1.3.2.01.00.0.0.000  </t>
  </si>
  <si>
    <t xml:space="preserve">                                    </t>
  </si>
  <si>
    <t xml:space="preserve">1.1.3.2.01.04.0.0.000 </t>
  </si>
  <si>
    <t>INGRESOS TRIBUTARIOS</t>
  </si>
  <si>
    <t>INGRESOS CORRIENTES</t>
  </si>
  <si>
    <t xml:space="preserve">IMPUESTOS   SOBRE    LA    PROPIEDAD    </t>
  </si>
  <si>
    <t>Impuesto sobre la propiedad de bienes inmuebles</t>
  </si>
  <si>
    <t>Otros impuestos a la propiedad</t>
  </si>
  <si>
    <t>IMPUESTOS SOBRE BIENES Y SERVICIOS</t>
  </si>
  <si>
    <t xml:space="preserve">IMPUESTOS ESPECIFICOS SOBRE LA PRODUCCIÓN Y </t>
  </si>
  <si>
    <t>IMPUESTOS   ESPECIFICOS SOBRE LA PRODUCCION</t>
  </si>
  <si>
    <t>Impuestos específicos sobre bienes  manufacturados</t>
  </si>
  <si>
    <t>CONSUMO DE BIENES Y SERVICIOS</t>
  </si>
  <si>
    <t>Y CONSUMO DE BIENES</t>
  </si>
  <si>
    <t xml:space="preserve">1.1.2.9.01.00.0.0.000   </t>
  </si>
  <si>
    <t>Solares sin construir</t>
  </si>
  <si>
    <t>1.1.3.2.01.04.2.0.000</t>
  </si>
  <si>
    <t>Impuesto sobre el cemento.</t>
  </si>
  <si>
    <t>1.1.3.2.02.00.0.0.000</t>
  </si>
  <si>
    <t xml:space="preserve">1.1.3.2.02.03.0.0.000   </t>
  </si>
  <si>
    <t xml:space="preserve">IMPUESTOS ESPECIFICOS SOBRE LA PRODUCCION </t>
  </si>
  <si>
    <t xml:space="preserve">Impuestos  específicos  a   los servicios   de   diversión   y </t>
  </si>
  <si>
    <t>esparcimiento</t>
  </si>
  <si>
    <t>Y CONSUMO DE SERVICIOS</t>
  </si>
  <si>
    <t>1.1.3.2.02.03.1.0.000</t>
  </si>
  <si>
    <t>Impuesto sobre espectáculos públicos 6%</t>
  </si>
  <si>
    <t>1.1.3.2.02.03.2.0.000</t>
  </si>
  <si>
    <t>Otros impuestos específicos a los servicios de diversión y esparcimiento.</t>
  </si>
  <si>
    <t>1.1.3.3.01.02.0.0.000</t>
  </si>
  <si>
    <t>Patentes Municipales</t>
  </si>
  <si>
    <t>1.1.3.3.01.03.0.0.000</t>
  </si>
  <si>
    <t>1.1.3.3.01.04.0.0.000</t>
  </si>
  <si>
    <t>Impuesto pro-cementerio</t>
  </si>
  <si>
    <t>1.1.3.3.01.05.0.0.000</t>
  </si>
  <si>
    <t xml:space="preserve">1.1.3.3.00.00.0.0.000   </t>
  </si>
  <si>
    <t xml:space="preserve">1.1.3.3.01.00.0.0.000   </t>
  </si>
  <si>
    <t>OTROS IMPUESTOS A LOS BIENES Y SERVICIOS</t>
  </si>
  <si>
    <t>Licencias   profesionales,  comerciales   y   otros  permisos</t>
  </si>
  <si>
    <t>1.1.2.4.00.00.0.0.000</t>
  </si>
  <si>
    <t>Impuesto sobre los traspasos de bienes inmuebles</t>
  </si>
  <si>
    <t>1.1.2.4.01.00.0.0.000</t>
  </si>
  <si>
    <t>Timbres municipales (por traspasos de bienes inmuebles)</t>
  </si>
  <si>
    <t xml:space="preserve">1.1.9.0.00.00.0.0.000  </t>
  </si>
  <si>
    <t xml:space="preserve">1.1.9.1.00.00.0.0.000   </t>
  </si>
  <si>
    <t>OTROS INGRESOS TRIBUTARIOS</t>
  </si>
  <si>
    <t>IMPUESTO DE TIMBRES</t>
  </si>
  <si>
    <t xml:space="preserve">1.1.9.1.01.00.0.0.000   </t>
  </si>
  <si>
    <t>Timbre Pro-parques Nacionales.</t>
  </si>
  <si>
    <t xml:space="preserve">1.3.0.0.00.00.0.0.000  </t>
  </si>
  <si>
    <t xml:space="preserve">1.3.1.0.00.00.0.0.000   </t>
  </si>
  <si>
    <t xml:space="preserve">1.3.1.2.00.00.0.0.000   </t>
  </si>
  <si>
    <t xml:space="preserve">1.3.1.2.01.00.0.0.000  </t>
  </si>
  <si>
    <t>INGRESOS NO TRIBUTARIOS</t>
  </si>
  <si>
    <t>VENTA DE BIENES Y SERVICIOS</t>
  </si>
  <si>
    <t>VENTA DE SERVICIOS</t>
  </si>
  <si>
    <t>SERVICIOS DE TRANSPORTE</t>
  </si>
  <si>
    <t>Alquiler de edificios e instalaciones</t>
  </si>
  <si>
    <t>ALQUILERES</t>
  </si>
  <si>
    <t xml:space="preserve">Alquiler de Mercado Municipal </t>
  </si>
  <si>
    <t xml:space="preserve">1.3.1.2.04.00.0.0.000   </t>
  </si>
  <si>
    <t xml:space="preserve">1.3.1.2.04.01.0.0.000   </t>
  </si>
  <si>
    <t xml:space="preserve">1.3.1.2.04.01.1.0.000   </t>
  </si>
  <si>
    <t>Servicios de saneamiento ambiental</t>
  </si>
  <si>
    <t>Servicios de Recoleccion de Basura</t>
  </si>
  <si>
    <t>CONTRIBUCIONES PATRONALES A FONDOS DE PENSIONES  Y OTROS FONDOS DE CAPITALIZACION</t>
  </si>
  <si>
    <t xml:space="preserve">1.3.1.2.05.04.0.0.000   </t>
  </si>
  <si>
    <t xml:space="preserve">1.3.1.2.05.04.1.0.000   </t>
  </si>
  <si>
    <t xml:space="preserve">1.3.1.2.05.03.0.0.000   </t>
  </si>
  <si>
    <t>Servicios de cementerio</t>
  </si>
  <si>
    <t>1.3.1.2.01.03.0.0.000</t>
  </si>
  <si>
    <t>Servicios de transporte portuario</t>
  </si>
  <si>
    <t>1.3.1.2.01.03.1.0.000</t>
  </si>
  <si>
    <t>Servicios de muelle</t>
  </si>
  <si>
    <t xml:space="preserve">1.3.1.3.00.00.0.0.000 </t>
  </si>
  <si>
    <t>1.3.1.3.01.00.0.0.000</t>
  </si>
  <si>
    <t xml:space="preserve">1.3.1.3.01.01.0.0.000   </t>
  </si>
  <si>
    <t>Derechos de estacionamiento y terminales</t>
  </si>
  <si>
    <t>DERECHOS ADMINISTRATIVOS A LOS SERVICIOS DE</t>
  </si>
  <si>
    <t>DERECHOS ADMINISTRATIV0S</t>
  </si>
  <si>
    <t>TRANSPORTE</t>
  </si>
  <si>
    <t xml:space="preserve">1.3.1.3.01.01.1.0.000  </t>
  </si>
  <si>
    <t xml:space="preserve">1.3.1.3.02.09.0.0.000   </t>
  </si>
  <si>
    <t xml:space="preserve">1.3.1.3.02.00.0.0.000  </t>
  </si>
  <si>
    <t xml:space="preserve">1.3.1.3.02.09.1.0.000   </t>
  </si>
  <si>
    <t>Otros derechos administrativos a otros servicios públicos</t>
  </si>
  <si>
    <t>Productos de papel, carton e impresos</t>
  </si>
  <si>
    <t>Informacion</t>
  </si>
  <si>
    <t>Terreno</t>
  </si>
  <si>
    <t>Derechos de Cementerio</t>
  </si>
  <si>
    <t xml:space="preserve">1.3.4.0.00.00.0.0.000   </t>
  </si>
  <si>
    <t>INTERNO</t>
  </si>
  <si>
    <t>UNIDAD TECNICA DE GESTION VIAL PROYECTO 01</t>
  </si>
  <si>
    <t xml:space="preserve">INTERNO </t>
  </si>
  <si>
    <t xml:space="preserve">1.3.4.1.00.00.0.0.000   </t>
  </si>
  <si>
    <t>INTERESES MORATORIOS</t>
  </si>
  <si>
    <t>Intereses moratorios por atraso en pago  de impuesto</t>
  </si>
  <si>
    <t>1.3.2.0.00.00.0.0.000</t>
  </si>
  <si>
    <t>INGRESOS DE LA PROPIEDAD</t>
  </si>
  <si>
    <t>1.3.2.3.00.00.0.0.000</t>
  </si>
  <si>
    <t>RENTA DE ACTIVOS FINANCIEROS</t>
  </si>
  <si>
    <t>1.3.2.3.03.00.0.0.000</t>
  </si>
  <si>
    <t>OTRAS RENTAS DE ACTIVOS FINANCIEROS</t>
  </si>
  <si>
    <t>1.3.2.3.03.01.0.0.000</t>
  </si>
  <si>
    <t>Intereses sobre cuentas corrientes y otros depósitos en Bancos Estatales</t>
  </si>
  <si>
    <t>CODIGO</t>
  </si>
  <si>
    <t>INGRESO</t>
  </si>
  <si>
    <t>MONTO</t>
  </si>
  <si>
    <t xml:space="preserve">No </t>
  </si>
  <si>
    <t>Proyecto No. 4: Limpieza Mecanizada, extracción, acarreo, colocación de material para bacheo mecanizado y rehabilitación del sistema de drenajes para 12,5 km en el camino 2-14-026 (El Parque - San José del Amparo)</t>
  </si>
  <si>
    <t>Proyecto No.5:Limpieza Mecanizada, extracción, acarreo y colocación de material para bacheo mecanizado en 12,3 km del camino 2-14-043 (Los Lirios - San Isidro de San Jorge)</t>
  </si>
  <si>
    <t>Proyecto No 6: Limpieza Mecanizada, extracción, acarreo y colocación de material para bacheo mecanizado en 8.0 km del camino 2-14-008 (Pavón - Cristo Rey)</t>
  </si>
  <si>
    <t>Proyecto No 7: Limpieza Mecanizada, extracción, acarreo y colocación de material para bacheo mecanizado en 7,8 km del camino 2-14-041 (San Antonio - Cóbano)</t>
  </si>
  <si>
    <t>Proyecto No 8: Limpieza Mecanizada, extracción, acarreo y colocación de material para bacheo mecanizado en 3,6 km en el camino 2-14-018 (Corozo - La Virgen)</t>
  </si>
  <si>
    <t>Proyecto No 9: Limpieza Mecanizada, extracción, acarreo y colocación de material para bacheo mecanizado en 3,7 km en el camino 2-14-007 (San José del Amparo - Vasconia)</t>
  </si>
  <si>
    <t>Proyecto No 10: Limpieza Mecanizada, extracción, acarreo, colocación de material para bacheo mecanizado y rehabilitación del sistema de drenajes en 7 km en el camino 2-14-036 (Cuatro Esquinas - Punta Cortez)</t>
  </si>
  <si>
    <t>Sueldos Fijos</t>
  </si>
  <si>
    <t>Progrma I</t>
  </si>
  <si>
    <t>Progrma II</t>
  </si>
  <si>
    <t>Materiales y productos minerales y asfaltivcos</t>
  </si>
  <si>
    <t>1.3.3.1.09.00.0.0.000</t>
  </si>
  <si>
    <t>Otras multas</t>
  </si>
  <si>
    <t>Grupo</t>
  </si>
  <si>
    <t>proyecto</t>
  </si>
  <si>
    <t>MUNICPALIDA DE LOS CHILES</t>
  </si>
  <si>
    <t>PROGRMA IV</t>
  </si>
  <si>
    <t>2.04.02</t>
  </si>
  <si>
    <t>5.01.01</t>
  </si>
  <si>
    <t>5.02.99</t>
  </si>
  <si>
    <t xml:space="preserve">Grupo </t>
  </si>
  <si>
    <t>TOTAL PROYECTOS</t>
  </si>
  <si>
    <t>Materiales y productos minerales y asfalticos</t>
  </si>
  <si>
    <t>Maquinaria y equipo para la produccion</t>
  </si>
  <si>
    <t>Otras construcciones adiciones y mejoras</t>
  </si>
  <si>
    <t xml:space="preserve"> Planta Fisica salon comunal Caño Negro</t>
  </si>
  <si>
    <t>Construccion Esc. Las Cuacas Cuatro Esquinas, Los Chiles.</t>
  </si>
  <si>
    <t xml:space="preserve">Const. Cocina comunal San Jorge </t>
  </si>
  <si>
    <t>Mejoramiento planta fisica de Esc. San Jorge</t>
  </si>
  <si>
    <t xml:space="preserve"> Puente Rio Medio Queso- El Amparo</t>
  </si>
  <si>
    <t xml:space="preserve">Conformacion lastreo 9 km de las comunidades </t>
  </si>
  <si>
    <t>Continuacion const. Cordon y caño Los Chiles</t>
  </si>
  <si>
    <t xml:space="preserve"> Mejoramiento polideportivo Los Chiles</t>
  </si>
  <si>
    <t xml:space="preserve"> Alcantarillado y construccion cabezalez llano Rio Medio Queso</t>
  </si>
  <si>
    <t xml:space="preserve"> Compra maquinari y equipo municipal</t>
  </si>
  <si>
    <t>Mantenimiento maquinaria y equipo municipal</t>
  </si>
  <si>
    <t>Compra motoniveladora</t>
  </si>
  <si>
    <r>
      <t xml:space="preserve">CONSTRUCCIÓN DE SALÓN MULTIUSO. DISTRITO AMPARO. </t>
    </r>
    <r>
      <rPr>
        <b/>
        <sz val="8"/>
        <color indexed="8"/>
        <rFont val="Arial"/>
        <family val="2"/>
      </rPr>
      <t>3-014-042068</t>
    </r>
  </si>
  <si>
    <t>ALCANTARILLADO, CONFORMACIÓN  Y LASTREO LOS CHILES CENTRO</t>
  </si>
  <si>
    <t>Vias de Comunicación</t>
  </si>
  <si>
    <r>
      <t xml:space="preserve">CONSTRUCCIÓN DE UN PARQUE RECREATIVO. PROYECTO CANTONAL, MUNICIPALIDAD DE LOS CHILES. </t>
    </r>
    <r>
      <rPr>
        <b/>
        <sz val="8"/>
        <color indexed="8"/>
        <rFont val="Arial"/>
        <family val="2"/>
      </rPr>
      <t>3-014-042068</t>
    </r>
  </si>
  <si>
    <r>
      <t xml:space="preserve">CONSTRUCCIÓN DE ACERAS </t>
    </r>
    <r>
      <rPr>
        <b/>
        <sz val="8"/>
        <color indexed="8"/>
        <rFont val="Arial"/>
        <family val="2"/>
      </rPr>
      <t>3-014-042068</t>
    </r>
  </si>
  <si>
    <r>
      <t>CONSTRUCCIÓN DE PARQUE RECREATIVO. DISTRITO CAÑO NEGRO.</t>
    </r>
    <r>
      <rPr>
        <b/>
        <sz val="8"/>
        <color indexed="8"/>
        <rFont val="Arial"/>
        <family val="2"/>
      </rPr>
      <t xml:space="preserve"> 3-014-042068</t>
    </r>
  </si>
  <si>
    <t>PARA EL MEJORAMIENTO DEL POLIDEPORTIVO DE LOS CHILES CEDULA 3-014-042068</t>
  </si>
  <si>
    <t>PARA LA ZONA PORTUARIA</t>
  </si>
  <si>
    <r>
      <t xml:space="preserve">COMPRA DE UN RECOLECTOR DE DESECHOS SÓLIDOS.  PROYECTO CANTONAL, MUNICIPALIDAD DE LOS CHILES. </t>
    </r>
    <r>
      <rPr>
        <b/>
        <sz val="8"/>
        <color indexed="8"/>
        <rFont val="Arial"/>
        <family val="2"/>
      </rPr>
      <t>3-014-042068</t>
    </r>
  </si>
  <si>
    <t>5.01.02</t>
  </si>
  <si>
    <t>Equipo de Transporte</t>
  </si>
  <si>
    <t>Construcion de Asilo Ancianos los Chiles</t>
  </si>
  <si>
    <t>Sumas Especificas sin asignacion</t>
  </si>
  <si>
    <t>Visalcalde</t>
  </si>
  <si>
    <t>Salario Escolar</t>
  </si>
  <si>
    <t>Prestaciones Legales</t>
  </si>
  <si>
    <t>Servicio agua y alcaltarillado</t>
  </si>
  <si>
    <t>Manteni. Edificios y locales</t>
  </si>
  <si>
    <t>Servicios agua</t>
  </si>
  <si>
    <t>Servicios electricidad</t>
  </si>
  <si>
    <t>Servicios telecomunicacion</t>
  </si>
  <si>
    <t>Publicidad y Propaganda</t>
  </si>
  <si>
    <t>Mantenimiento de edificios</t>
  </si>
  <si>
    <t>Mantenimiento de equipo produccion</t>
  </si>
  <si>
    <t xml:space="preserve">Mantenimiento de equipo </t>
  </si>
  <si>
    <t>Encargado Maquinaria</t>
  </si>
  <si>
    <t>Utiles y mat. De limpieza</t>
  </si>
  <si>
    <t>Impresión, encuadernacion y otros</t>
  </si>
  <si>
    <t>Utiles y mat de oficina</t>
  </si>
  <si>
    <t>16</t>
  </si>
  <si>
    <t>Mant. Y rep. Equipo transporte</t>
  </si>
  <si>
    <t>Utiles de seguridad y resguardo</t>
  </si>
  <si>
    <t>Siueldos para cargos fijos</t>
  </si>
  <si>
    <t>retribucion por años servidos</t>
  </si>
  <si>
    <t>Servicios Especiales</t>
  </si>
  <si>
    <t>SALARIO DEL VISEALCALDE</t>
  </si>
  <si>
    <t xml:space="preserve">a) Salario </t>
  </si>
  <si>
    <t>Alcalde Municipal</t>
  </si>
  <si>
    <t xml:space="preserve">    Anualidades  </t>
  </si>
  <si>
    <t xml:space="preserve">    Salario base del Visealcalde (80% salario del Alcalde)</t>
  </si>
  <si>
    <t>Decmo Tercer mes</t>
  </si>
  <si>
    <t>Servicio  energia electrica</t>
  </si>
  <si>
    <t>Productos de limpieza</t>
  </si>
  <si>
    <t xml:space="preserve">Productos de papel , carton </t>
  </si>
  <si>
    <t>otros servicios de gestion</t>
  </si>
  <si>
    <t xml:space="preserve">  </t>
  </si>
  <si>
    <t>Tiempo Extraordinario</t>
  </si>
  <si>
    <t>Otros servicio de apoyo</t>
  </si>
  <si>
    <t>Mant equipo transporte</t>
  </si>
  <si>
    <t>Equipo y prog de computo</t>
  </si>
  <si>
    <t>Maqui y equipo diverso</t>
  </si>
  <si>
    <t>Otros incentivos salariales</t>
  </si>
  <si>
    <t>Herramientas</t>
  </si>
  <si>
    <t>Utiles y materiales de seguridad</t>
  </si>
  <si>
    <t>Materiales y productos minerales</t>
  </si>
  <si>
    <t>Mantenimiento de equipo transporte</t>
  </si>
  <si>
    <t>DISTRIBUCION PRESUPUESTOS ORDINARIO PARA EL PERIODO 2015</t>
  </si>
  <si>
    <t>PRESUPUESTO ORDINARIO PARA EL PERIODO 2015</t>
  </si>
  <si>
    <t>DISTRIBUCION PRESUPUESTO EXTRAORDINARIO No 1 PARA EL PERIODO 2015</t>
  </si>
  <si>
    <t>Fecha: 20/08/2014</t>
  </si>
  <si>
    <t>Miscelaneos</t>
  </si>
  <si>
    <t>BNCR</t>
  </si>
  <si>
    <t>Servico energia electrica</t>
  </si>
  <si>
    <t>Mant. Repara. Equipo computo</t>
  </si>
  <si>
    <t>Utiles y mat de limpieza</t>
  </si>
  <si>
    <t>Servicio de agua</t>
  </si>
  <si>
    <t>Publicidad y propaganda</t>
  </si>
  <si>
    <t>Servico Telecomunicaciones</t>
  </si>
  <si>
    <t>Mant edificios y locales</t>
  </si>
  <si>
    <t>Mant equipo computo</t>
  </si>
  <si>
    <t xml:space="preserve">Mant otros equipos </t>
  </si>
  <si>
    <t>Materiales y prod de vidrio</t>
  </si>
  <si>
    <t>Otros servicios basicos</t>
  </si>
  <si>
    <t>Mant rep equipo computo</t>
  </si>
  <si>
    <t>limentos y bebidas</t>
  </si>
  <si>
    <t>3</t>
  </si>
  <si>
    <t>Intereses sobre creditos</t>
  </si>
  <si>
    <t>Amortizacion sobre creditos</t>
  </si>
  <si>
    <t>Servicios Ingenieria</t>
  </si>
  <si>
    <t xml:space="preserve">Otras construcciones adiciones </t>
  </si>
  <si>
    <t>Jornales ocasionales</t>
  </si>
  <si>
    <t xml:space="preserve">Mant. Y rep. Otros Equipo </t>
  </si>
  <si>
    <t>Repuestos y Accesorios</t>
  </si>
  <si>
    <t>Maquinari equipo diverso</t>
  </si>
  <si>
    <t>Mate y prod metalicos</t>
  </si>
  <si>
    <t>Mate y prod electricos</t>
  </si>
  <si>
    <t>CONTENIDO</t>
  </si>
  <si>
    <t>Yo Barley Garita Herrera contador municipal  hago constar que los datos suministrados anteriormente corresponden a las aplicaciones dadas por la Municipalidad a la totalidad de los recursos con origen específico incorporados en el Presupuesto Ordinario 2014</t>
  </si>
  <si>
    <t>SERVICIOS ESPECIALES</t>
  </si>
  <si>
    <t>Consejo Nacional de personas con Discapacidad (CONAPDIS)</t>
  </si>
  <si>
    <t>SECCION DE EGRESOS POR PARTIDA</t>
  </si>
  <si>
    <t>GENERAL Y POR PROGRAMA</t>
  </si>
  <si>
    <t>PROGRAMA I: DIRECCION Y  ADMINISTRACION GENERAL</t>
  </si>
  <si>
    <t>PROGRAMA II: SERVICIOS COMUNALES</t>
  </si>
  <si>
    <t>PROGRAMA III: INVERSIONES</t>
  </si>
  <si>
    <t xml:space="preserve">TOTALES POR EL OBJETO DEL GASTO </t>
  </si>
  <si>
    <t>0 REMUNERACIONES</t>
  </si>
  <si>
    <t>1 SERVICIOS</t>
  </si>
  <si>
    <t>2 MATERIALES Y SUMINISTROS</t>
  </si>
  <si>
    <t>3 INTERESES Y COMISIONES</t>
  </si>
  <si>
    <t>4 ACTIVOS FINANCIEROS</t>
  </si>
  <si>
    <t>5 BIENES DURADEROS</t>
  </si>
  <si>
    <t>6 TRANSFERENCIAS CORRIENTES</t>
  </si>
  <si>
    <t>7 TRANSFERECNIAS DE CAPITAL</t>
  </si>
  <si>
    <t>8 AMORTIZACION</t>
  </si>
  <si>
    <t>9 CUENTAS ESPECIALES</t>
  </si>
  <si>
    <t>SECCION DE EGRESOS DETALLADO</t>
  </si>
  <si>
    <t xml:space="preserve">DETALLE DE ORIGEN Y APLICACIÓN DE RECURSOS </t>
  </si>
  <si>
    <t>CODIGO SEGÚN CLASIFICADOR DE INGRESOS</t>
  </si>
  <si>
    <t>Impuesto de bienes inmuebles, Ley 7729</t>
  </si>
  <si>
    <t>Transferencias Corrientes</t>
  </si>
  <si>
    <t>Administración General</t>
  </si>
  <si>
    <t>Terminal y Estacionamientos</t>
  </si>
  <si>
    <t>Proteccion Medio Ambiente</t>
  </si>
  <si>
    <t>Desarrollo Urbano</t>
  </si>
  <si>
    <t>Direccion de Servicios</t>
  </si>
  <si>
    <t>Educativo, cultural y deportivo</t>
  </si>
  <si>
    <t>Proteccion medio ambiente</t>
  </si>
  <si>
    <t>Zona Portuaria</t>
  </si>
  <si>
    <t>Mercado Municipal</t>
  </si>
  <si>
    <t>Servcios Recoleciion de Basura</t>
  </si>
  <si>
    <t>Fondos Ley Simplificacion y eficiencia Tributaria 8114</t>
  </si>
  <si>
    <t>Impuesto al Ruedo</t>
  </si>
  <si>
    <t>Caminos y Calles</t>
  </si>
  <si>
    <t>Pagina</t>
  </si>
  <si>
    <t xml:space="preserve"> Egresos por Partida .......................................................................................</t>
  </si>
  <si>
    <t xml:space="preserve"> Egresos Detallado......................................................................................</t>
  </si>
  <si>
    <t>Origen y aplicación de Recursos libres y especificos.................................................................................</t>
  </si>
  <si>
    <t>Estrucutra organizacional……...............................................................................</t>
  </si>
  <si>
    <t>Salario del Alcalde y Vis alcalde.........................................................................................</t>
  </si>
  <si>
    <t>Estructura organizacional (Recursos Humanos)</t>
  </si>
  <si>
    <t xml:space="preserve">2. Año </t>
  </si>
  <si>
    <t>Procesos sustantivos</t>
  </si>
  <si>
    <t>Por programa</t>
  </si>
  <si>
    <t>Apoyo</t>
  </si>
  <si>
    <t xml:space="preserve">Nivel </t>
  </si>
  <si>
    <t>Servicios especiales</t>
  </si>
  <si>
    <t>Diferencia</t>
  </si>
  <si>
    <t>IV</t>
  </si>
  <si>
    <t>Puestos de confianza</t>
  </si>
  <si>
    <t>Otros</t>
  </si>
  <si>
    <t>Nivel superior ejecutivo</t>
  </si>
  <si>
    <t>Profesional</t>
  </si>
  <si>
    <t>Técnico</t>
  </si>
  <si>
    <t>Administrativo</t>
  </si>
  <si>
    <t>De servicio</t>
  </si>
  <si>
    <t>RESUMEN:</t>
  </si>
  <si>
    <t>RESUMEN POR PROGRAMA:</t>
  </si>
  <si>
    <t>Plazas en sueldos para cargos fijos</t>
  </si>
  <si>
    <t>Programa I: Dirección y Administración General</t>
  </si>
  <si>
    <t>Plazas en servicios especiales</t>
  </si>
  <si>
    <t>Programa II: Servicios Comunitarios</t>
  </si>
  <si>
    <t>Plazas en procesos sustantivos</t>
  </si>
  <si>
    <t>Programa III: Inversiones</t>
  </si>
  <si>
    <t>Plazas en procesos de apoyo</t>
  </si>
  <si>
    <t>Programa IV: Partidas específicas</t>
  </si>
  <si>
    <t>Total de plazas</t>
  </si>
  <si>
    <t>3. Observaciones.</t>
  </si>
  <si>
    <t>Elaborado por:</t>
  </si>
  <si>
    <t>Fecha:</t>
  </si>
  <si>
    <t>PRESUPUESTO ORDINARIO PARA EL PERIODO 2017</t>
  </si>
  <si>
    <t>1.3.1.2.03.00.0.0.000</t>
  </si>
  <si>
    <t>SERVICIOS FINANCIEROS Y DE SEGUROS</t>
  </si>
  <si>
    <t>1.3.1.2.03.04.0.0.000</t>
  </si>
  <si>
    <t>Servicios de recaudación</t>
  </si>
  <si>
    <t>1.3.1.2.09.00.0.0.000</t>
  </si>
  <si>
    <t>OTROS SERVICIOS</t>
  </si>
  <si>
    <t>1.3.1.2.09.09.0.0.000</t>
  </si>
  <si>
    <t>Venta de otros servicios</t>
  </si>
  <si>
    <t>2.4.1.1.02.00.00.0.00</t>
  </si>
  <si>
    <t>Ley 9154 puesto Fronterizo</t>
  </si>
  <si>
    <t>0.03.04</t>
  </si>
  <si>
    <t>Asistente Administrativo 1</t>
  </si>
  <si>
    <t>Plataformista 1</t>
  </si>
  <si>
    <t xml:space="preserve">Retribución por años servidos (anualidades 4% ) </t>
  </si>
  <si>
    <t>2-14-008</t>
  </si>
  <si>
    <t>2-14-024</t>
  </si>
  <si>
    <t>2-14-026</t>
  </si>
  <si>
    <t>2-14-029</t>
  </si>
  <si>
    <t>CALLES URBANAS</t>
  </si>
  <si>
    <t>CUADRANTES</t>
  </si>
  <si>
    <t>(ENT.N.35) PAVON</t>
  </si>
  <si>
    <t>Para niñez y adolecencia</t>
  </si>
  <si>
    <t>Fondo Lotificacion</t>
  </si>
  <si>
    <t>Encargada de Bienes inmuebles</t>
  </si>
  <si>
    <t>2,03,02</t>
  </si>
  <si>
    <t>Zon Portuaria</t>
  </si>
  <si>
    <t>Cobstruccion de Rampa</t>
  </si>
  <si>
    <t>Administracion General</t>
  </si>
  <si>
    <t>Auditoria Interna</t>
  </si>
  <si>
    <t>DETALLE DE TRANSFERENCIA IBI</t>
  </si>
  <si>
    <t>1. Nombre de la institución.</t>
  </si>
  <si>
    <t>Certificacion</t>
  </si>
  <si>
    <t>Proyectos</t>
  </si>
  <si>
    <t>DGTV</t>
  </si>
  <si>
    <t>Departamento  de Gestion Vial</t>
  </si>
  <si>
    <t>(ENT.N.35) LOS LIRIOS</t>
  </si>
  <si>
    <t>(ENT.C.20/C.53) LOS CORRALES</t>
  </si>
  <si>
    <t>(ENT.C.24) VASCONIA</t>
  </si>
  <si>
    <t>(ENT.C.52/C.48) CRISTO REY</t>
  </si>
  <si>
    <t>2-14-159</t>
  </si>
  <si>
    <t>PAVON</t>
  </si>
  <si>
    <t>LOS CHILES CENTRO</t>
  </si>
  <si>
    <t>Para construir rampa Personas con discapacidad</t>
  </si>
  <si>
    <t xml:space="preserve">COMPROBACION </t>
  </si>
  <si>
    <t>Cementerio</t>
  </si>
  <si>
    <t>COMPROBACION</t>
  </si>
  <si>
    <t>2,4,3,0,00,00,0,0,000</t>
  </si>
  <si>
    <t xml:space="preserve">   Fecha de ingreso 01/04/2016</t>
  </si>
  <si>
    <t>Recursos Humanos</t>
  </si>
  <si>
    <t>2.4.1.3.01.00.0.0.000</t>
  </si>
  <si>
    <t xml:space="preserve">1.3.1.2.05.09.0.0.000   </t>
  </si>
  <si>
    <t>Otros Servicios Comunitarios</t>
  </si>
  <si>
    <t>Aseo de Vias y Sitios publicos</t>
  </si>
  <si>
    <t xml:space="preserve">1.3.1.2.05.09.1.0.000   </t>
  </si>
  <si>
    <t xml:space="preserve">1.3.1.2.05.09.2.0.000   </t>
  </si>
  <si>
    <t>Parques y Obras de Ornato</t>
  </si>
  <si>
    <t>1.3.1.2.05.09.0.0.000</t>
  </si>
  <si>
    <t>RELACIÓN DE PUESTOS CECUDDI</t>
  </si>
  <si>
    <t>Cocinera</t>
  </si>
  <si>
    <t>Elaborado por: Bach Ian Garcia Salas</t>
  </si>
  <si>
    <t>Aseo de vias y sitios publicos (01)</t>
  </si>
  <si>
    <t>Parques y ornato (05)</t>
  </si>
  <si>
    <t>Servicios Sociales y complementarios (10)</t>
  </si>
  <si>
    <t>Peones</t>
  </si>
  <si>
    <t>Consejo Nacional de la persona Joven</t>
  </si>
  <si>
    <t>Peón (5)</t>
  </si>
  <si>
    <t>Compra de maquinaria para servicios de recolecion de basura</t>
  </si>
  <si>
    <t>Atencion emergencias    (28)</t>
  </si>
  <si>
    <t>2-14-043</t>
  </si>
  <si>
    <t>(ENT.N.733) SAN ISIDRO DE S.J.</t>
  </si>
  <si>
    <t>2.03.01</t>
  </si>
  <si>
    <t>2,03,03</t>
  </si>
  <si>
    <t>Materiales y productos plasticos</t>
  </si>
  <si>
    <t>2,03,06</t>
  </si>
  <si>
    <t>2.04.01</t>
  </si>
  <si>
    <t>0.01.02</t>
  </si>
  <si>
    <t>0.05.02</t>
  </si>
  <si>
    <t>1.06.01</t>
  </si>
  <si>
    <t>0.02.01</t>
  </si>
  <si>
    <t>0.03.03</t>
  </si>
  <si>
    <t>Decimo Tercer mes</t>
  </si>
  <si>
    <t>CCSS patronal</t>
  </si>
  <si>
    <t>CCSS popular</t>
  </si>
  <si>
    <t>ROP</t>
  </si>
  <si>
    <t>FCL</t>
  </si>
  <si>
    <t>CCPJ</t>
  </si>
  <si>
    <t>1.05.01</t>
  </si>
  <si>
    <t>Ttransporte dentro del pais</t>
  </si>
  <si>
    <t xml:space="preserve">Pro I </t>
  </si>
  <si>
    <t>Pro II</t>
  </si>
  <si>
    <t>Pro III</t>
  </si>
  <si>
    <t>Choferes</t>
  </si>
  <si>
    <t>Comité Persona Joven</t>
  </si>
  <si>
    <t>10</t>
  </si>
  <si>
    <t>Servicios Sociales y Complementarios</t>
  </si>
  <si>
    <t>TRANSFERENCIAS</t>
  </si>
  <si>
    <t xml:space="preserve">   Fecha de ingreso 02/01/1994</t>
  </si>
  <si>
    <t xml:space="preserve">    Anualidades  32 * 4%</t>
  </si>
  <si>
    <t>7</t>
  </si>
  <si>
    <t>Tesorera Municipal</t>
  </si>
  <si>
    <t>1.3.1.2.05.09.3.0.000</t>
  </si>
  <si>
    <t>CECUDDI</t>
  </si>
  <si>
    <t>067-014-30914360</t>
  </si>
  <si>
    <t xml:space="preserve">067-014-30914360 </t>
  </si>
  <si>
    <t xml:space="preserve">067-014-30939926 </t>
  </si>
  <si>
    <t>Compra Maquinaria</t>
  </si>
  <si>
    <t>Compra de vehiculos para administracion general</t>
  </si>
  <si>
    <t>2-14-030</t>
  </si>
  <si>
    <t>CAÑO NEGRO DE LOS CHILES</t>
  </si>
  <si>
    <t>2-14-040</t>
  </si>
  <si>
    <t>(ENT.N.35) SAN ANTONIO</t>
  </si>
  <si>
    <t>(ENT.C.20)F.C.RANCHO B.B.</t>
  </si>
  <si>
    <t>2-14-059</t>
  </si>
  <si>
    <t>BARRIO LOS ANGELES,LOS CHILES</t>
  </si>
  <si>
    <t>2-14-151</t>
  </si>
  <si>
    <t>ASENT.SAN FCO. PAVON</t>
  </si>
  <si>
    <t>00.02.01</t>
  </si>
  <si>
    <t>2.01.01</t>
  </si>
  <si>
    <t>1.01.02</t>
  </si>
  <si>
    <t>Alquiler de maquinaria</t>
  </si>
  <si>
    <t>Comité Cantonal de la persona Joven</t>
  </si>
  <si>
    <t xml:space="preserve">Parques y Obras de Ornato  </t>
  </si>
  <si>
    <t>2.01.99</t>
  </si>
  <si>
    <t>Otros productos quimicos</t>
  </si>
  <si>
    <t>6.02.03</t>
  </si>
  <si>
    <t>Ayuda a funcionarios</t>
  </si>
  <si>
    <t>Fecha: 29/09/2019</t>
  </si>
  <si>
    <t xml:space="preserve">     Restricción del ejercicio liberal de la profesión (30%)</t>
  </si>
  <si>
    <t>PRESUPUESTO ORDINARIO PARA EL PERIODO 2021</t>
  </si>
  <si>
    <t xml:space="preserve"> PRESUPUESTO ORDINARIO  PARA EL PERIODO 2021</t>
  </si>
  <si>
    <t>DISTRIBUCION PROYECTO PRESUPUESTOS ORDINARIO PARA EL PERIODO 2021</t>
  </si>
  <si>
    <t>DISTRIBUCION PROYECTO PRESUPUESTOS ORDINARIO  PARA EL PERIODO 2021</t>
  </si>
  <si>
    <t>DISTRIBUCION PRESUPUESTOS ORDINARIO  PARA EL PERIODO 2021</t>
  </si>
  <si>
    <t>PRESUPUESTO  ORDINARIO PARA EL PERIODO 2021</t>
  </si>
  <si>
    <t>PROYECTO PRESUPUESTO ORDINARIO PARA EL PERIODO 2021</t>
  </si>
  <si>
    <t>PRESUPUESTO EXTRAORDINARIO No 01 PARA EL PERIODO 2021</t>
  </si>
  <si>
    <t>2021</t>
  </si>
  <si>
    <t>1.3.1.2.05.09.4.0.000</t>
  </si>
  <si>
    <t>PANI</t>
  </si>
  <si>
    <t>Elaborado por: Lic Jeniffer Vargas Cruz</t>
  </si>
  <si>
    <t>Fecha: 21/8/2020</t>
  </si>
  <si>
    <t>Parque</t>
  </si>
  <si>
    <t>Sj Amparo</t>
  </si>
  <si>
    <t>2-14-031</t>
  </si>
  <si>
    <t>SAN JOSE DEL AMPARO</t>
  </si>
  <si>
    <t>2-14-061</t>
  </si>
  <si>
    <t>ASENT.NUEVA ESPERANZA</t>
  </si>
  <si>
    <t>2-14-069</t>
  </si>
  <si>
    <t>SANTA CECILIA,EL AMPARO</t>
  </si>
  <si>
    <t>2-14-158</t>
  </si>
  <si>
    <t>CRISTO REY</t>
  </si>
  <si>
    <t>2-14-156</t>
  </si>
  <si>
    <t>ASENT.SANTA ELENA</t>
  </si>
  <si>
    <t>2-14-302</t>
  </si>
  <si>
    <t>CAÑO CASTILLA</t>
  </si>
  <si>
    <t>2-14-017</t>
  </si>
  <si>
    <t>(ENT.N.35) SJ Amparo</t>
  </si>
  <si>
    <t>(ENT.C.16) LA UNION ESCUELA</t>
  </si>
  <si>
    <t>2-14-048</t>
  </si>
  <si>
    <t>(ENT.C.8/C.52)CRISTO REY</t>
  </si>
  <si>
    <t>(ENT.C.237)CAÑO CASTILLA,F.R.Z</t>
  </si>
  <si>
    <t>2-14-237</t>
  </si>
  <si>
    <t>(ENT.C.13) LAS DELICIAS</t>
  </si>
  <si>
    <t>(ENT.C.48) FCA.RAFA ZUÑIGA C.C</t>
  </si>
  <si>
    <t>2-14-089</t>
  </si>
  <si>
    <t>(ENT.N.138) VERACRUZ</t>
  </si>
  <si>
    <t>LAS MARIAS,RIO FRIO LTE.CANT.</t>
  </si>
  <si>
    <t>2-14-036</t>
  </si>
  <si>
    <t>(ENT.C.9/C.37)CUATRO ESQUINAS</t>
  </si>
  <si>
    <t>(ENT.C.213)PUNTA CORTES,ESC.</t>
  </si>
  <si>
    <t>2-14-049</t>
  </si>
  <si>
    <t>(ENT.C.16) GALLO PINTO</t>
  </si>
  <si>
    <t>(ENT.C.51) SAN JORGE</t>
  </si>
  <si>
    <t>2-14-082</t>
  </si>
  <si>
    <t>(ENT.N.138) ASENT.N.ESPERANZA</t>
  </si>
  <si>
    <t>FIN CAMINO,FCA GUANACASTE</t>
  </si>
  <si>
    <t>2-14-109</t>
  </si>
  <si>
    <t>(ENT.N.733) SAN JORGE</t>
  </si>
  <si>
    <t>(ENT.C.43) CRUCE SAN ISIDRO</t>
  </si>
  <si>
    <t>2-14-110</t>
  </si>
  <si>
    <t>(ENT.N.733) TERRANOVA</t>
  </si>
  <si>
    <t>(ENT.C.46) SAN RAFAEL</t>
  </si>
  <si>
    <t>2-14-177</t>
  </si>
  <si>
    <t>(ENT.N.35) SAN HUMBERTO</t>
  </si>
  <si>
    <t>RIO CHAMBACU LTE.CANT. CH/S.C.</t>
  </si>
  <si>
    <t>2-14-003</t>
  </si>
  <si>
    <t>(ENT.N.733) PORVENIR</t>
  </si>
  <si>
    <t>LA TIGRA,LTE.CANTONAL CH./S.C.</t>
  </si>
  <si>
    <t>2-14-132</t>
  </si>
  <si>
    <t>(ENT.C.16) LA UNION</t>
  </si>
  <si>
    <t>F.C.FCA. CARLOS QUESADA</t>
  </si>
  <si>
    <t>2-14-277</t>
  </si>
  <si>
    <t>(ENT C 009) SAN GERARDO</t>
  </si>
  <si>
    <t>(FIN CAMINO) FINCA PABLO OPORTA</t>
  </si>
  <si>
    <t>2-14-290</t>
  </si>
  <si>
    <t>(ENT C011 Y C224) ISLA CHICA</t>
  </si>
  <si>
    <t>PROYECTO TROCHA FRONTERIZA MOJÓN 8</t>
  </si>
  <si>
    <t>2-14-070</t>
  </si>
  <si>
    <t>(ENT.C.4) TABLILLAS,LOS CHILES</t>
  </si>
  <si>
    <t>(ENT.C.4)LOS CHILES,C.PRECARIO</t>
  </si>
  <si>
    <t>2-14-071</t>
  </si>
  <si>
    <t>(ENT.C.4)LOS CHILES,C PRECARIO</t>
  </si>
  <si>
    <t>PARCELAS MARIA SEVILLA</t>
  </si>
  <si>
    <t>2-14-205</t>
  </si>
  <si>
    <t>(ENT.C.9) MEDIO QUESO</t>
  </si>
  <si>
    <t>FIN CAMINO RIO COMBATE</t>
  </si>
  <si>
    <t>2-14-210</t>
  </si>
  <si>
    <t>(ENT.C.36) CUATRO ESQUINAS</t>
  </si>
  <si>
    <t>F.C. FCA. EL REFUGIO</t>
  </si>
  <si>
    <t>2-14-092</t>
  </si>
  <si>
    <t>(ENT.N.139) VERACRUZ</t>
  </si>
  <si>
    <t>F.C.FCA.JORGE SIGNINI</t>
  </si>
  <si>
    <t>2-14-148</t>
  </si>
  <si>
    <t>FIN CAMINO FINCA</t>
  </si>
  <si>
    <t>2-14-254</t>
  </si>
  <si>
    <t>(ENTC011) ISLA CHICA</t>
  </si>
  <si>
    <t>(FIN DE CAMINO) FINCA JORGE MARIO ROJAS</t>
  </si>
  <si>
    <t>2-14-186</t>
  </si>
  <si>
    <t>(ENT.C.8) MONTEALEGRE</t>
  </si>
  <si>
    <t>(ENT.C.42) COBANO</t>
  </si>
  <si>
    <t>5.99.03</t>
  </si>
  <si>
    <t>Biene Intangibles</t>
  </si>
  <si>
    <t>2.41.3.01.00.0.000</t>
  </si>
  <si>
    <t>IMAS  -CECUDDI</t>
  </si>
  <si>
    <t>PANI - CECCUDI</t>
  </si>
  <si>
    <t>ii</t>
  </si>
  <si>
    <t>Aseo de Vis</t>
  </si>
  <si>
    <t>Bach Ian García Salas</t>
  </si>
  <si>
    <t>Abogado Municipal</t>
  </si>
  <si>
    <t>Coordinador de desarrollo Urbano</t>
  </si>
  <si>
    <t>Encargado de Presupuesto</t>
  </si>
  <si>
    <t xml:space="preserve">Asistente Administrativo </t>
  </si>
  <si>
    <t>Chofer equipo liviano</t>
  </si>
  <si>
    <t>Gestor de Cobros</t>
  </si>
  <si>
    <t>Asistente Administrativo</t>
  </si>
  <si>
    <t>Encargado Gestion Ambiental</t>
  </si>
  <si>
    <t>Inspector Municipal</t>
  </si>
  <si>
    <t>Choferes equipo pesado</t>
  </si>
  <si>
    <t>Cajero</t>
  </si>
  <si>
    <t xml:space="preserve">Elaborado por Bach Ian García Salas </t>
  </si>
  <si>
    <t>Fecha: 20/08/2020</t>
  </si>
  <si>
    <t>Cordinador del departamento Gestion Vial</t>
  </si>
  <si>
    <t>Ingeniero del deaprtamento gestion vial</t>
  </si>
  <si>
    <t>Ingeniero topografo</t>
  </si>
  <si>
    <t>Inspector Vial</t>
  </si>
  <si>
    <t>Chofer de Equipo Pesado</t>
  </si>
  <si>
    <t>peones</t>
  </si>
  <si>
    <t>Elaborado por Bach. Ian García</t>
  </si>
  <si>
    <t>SUELDOS PARA CARGOS  SERVICIOS ESPECIALES.</t>
  </si>
  <si>
    <t>Encargada de CECUDI</t>
  </si>
  <si>
    <t xml:space="preserve">Maestra </t>
  </si>
  <si>
    <t xml:space="preserve"> Asistentes de  red de cuido</t>
  </si>
  <si>
    <t>Analista y Gestor de Proyectos</t>
  </si>
  <si>
    <t xml:space="preserve">  TOTAL A PRESUPUESTAR SUELDOS PARA CARGOS FIJOS</t>
  </si>
  <si>
    <t xml:space="preserve">IMPRIMIR DE </t>
  </si>
  <si>
    <t xml:space="preserve">CUADROS </t>
  </si>
  <si>
    <t>PRESUPUESTO</t>
  </si>
  <si>
    <t>Cajeros</t>
  </si>
  <si>
    <t>FECHA 27 agosto 2020</t>
  </si>
  <si>
    <t>ELABORADO POR Lic Jeniffer Vargas Cruz</t>
  </si>
  <si>
    <t>Elaborado por:Jeniffer Vargas Cruz</t>
  </si>
  <si>
    <t>Elaborado por Lic  Jeniffer Vargas Cruz</t>
  </si>
  <si>
    <t>Fecha: 27/8/2020</t>
  </si>
  <si>
    <t>Relaciones de Puestos ...................................................................</t>
  </si>
  <si>
    <t>Servicio de la Deuda..................................................................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</si>
</sst>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quot;₡&quot;* #,##0_-;_-&quot;₡&quot;* &quot;-&quot;_-;_-@_-"/>
    <numFmt numFmtId="41" formatCode="_-* #,##0_-;\-* #,##0_-;_-* &quot;-&quot;_-;_-@_-"/>
    <numFmt numFmtId="43" formatCode="_-* #,##0.00_-;\-* #,##0.00_-;_-* &quot;-&quot;??_-;_-@_-"/>
    <numFmt numFmtId="164" formatCode="_(* #,##0.00_);_(* \(#,##0.00\);_(* &quot;-&quot;??_);_(@_)"/>
    <numFmt numFmtId="165" formatCode="_-* #,##0.00\ _€_-;\-* #,##0.00\ _€_-;_-* &quot;-&quot;??\ _€_-;_-@_-"/>
    <numFmt numFmtId="166" formatCode="_(* #,##0_);_(* \(#,##0\);_(* &quot;-&quot;??_);_(@_)"/>
    <numFmt numFmtId="167" formatCode="#,##0.0"/>
    <numFmt numFmtId="168" formatCode="#,##0.000000"/>
    <numFmt numFmtId="169" formatCode="_-* #,##0.00_-;\-* #,##0.00_-;_-* &quot;-&quot;_-;_-@_-"/>
    <numFmt numFmtId="170" formatCode="_-* #,##0.0_-;\-* #,##0.0_-;_-* &quot;-&quot;_-;_-@_-"/>
    <numFmt numFmtId="171" formatCode="&quot;₡&quot;#,##0.0_);\(&quot;₡&quot;#,##0.0\)"/>
    <numFmt numFmtId="172" formatCode="&quot;₡&quot;#,##0.00"/>
    <numFmt numFmtId="173" formatCode="_-* #,##0.000_-;\-* #,##0.000_-;_-* &quot;-&quot;_-;_-@_-"/>
    <numFmt numFmtId="174" formatCode="_(* #,##0.000_);_(* \(#,##0.000\);_(* &quot;-&quot;??_);_(@_)"/>
    <numFmt numFmtId="175" formatCode="_(* #,##0.0000_);_(* \(#,##0.0000\);_(* &quot;-&quot;??_);_(@_)"/>
    <numFmt numFmtId="176" formatCode="_-* #,##0.0_-;\-* #,##0.0_-;_-* &quot;-&quot;??_-;_-@_-"/>
    <numFmt numFmtId="177" formatCode="_(* #,##0.0_);_(* \(#,##0.0\);_(* &quot;-&quot;??_);_(@_)"/>
    <numFmt numFmtId="178" formatCode="_-&quot;₡&quot;* #,##0.00_-;\-&quot;₡&quot;* #,##0.00_-;_-&quot;₡&quot;* &quot;-&quot;_-;_-@_-"/>
  </numFmts>
  <fonts count="73">
    <font>
      <sz val="10"/>
      <name val="Arial"/>
    </font>
    <font>
      <sz val="10"/>
      <name val="Arial"/>
      <family val="2"/>
    </font>
    <font>
      <u/>
      <sz val="10"/>
      <color indexed="12"/>
      <name val="Arial"/>
      <family val="2"/>
    </font>
    <font>
      <sz val="8"/>
      <name val="Arial"/>
      <family val="2"/>
    </font>
    <font>
      <b/>
      <sz val="10"/>
      <name val="Arial"/>
      <family val="2"/>
    </font>
    <font>
      <b/>
      <sz val="11"/>
      <name val="Arial"/>
      <family val="2"/>
    </font>
    <font>
      <b/>
      <sz val="14"/>
      <name val="Arial"/>
      <family val="2"/>
    </font>
    <font>
      <sz val="10"/>
      <name val="Arial"/>
      <family val="2"/>
    </font>
    <font>
      <b/>
      <sz val="12"/>
      <name val="Arial"/>
      <family val="2"/>
    </font>
    <font>
      <sz val="11"/>
      <name val="Arial"/>
      <family val="2"/>
    </font>
    <font>
      <sz val="12"/>
      <name val="Arial"/>
      <family val="2"/>
    </font>
    <font>
      <sz val="8"/>
      <color indexed="81"/>
      <name val="Tahoma"/>
      <family val="2"/>
    </font>
    <font>
      <b/>
      <sz val="8"/>
      <color indexed="81"/>
      <name val="Tahoma"/>
      <family val="2"/>
    </font>
    <font>
      <sz val="10"/>
      <color indexed="81"/>
      <name val="Tahoma"/>
      <family val="2"/>
    </font>
    <font>
      <sz val="9"/>
      <name val="Arial"/>
      <family val="2"/>
    </font>
    <font>
      <b/>
      <sz val="9"/>
      <name val="Arial"/>
      <family val="2"/>
    </font>
    <font>
      <b/>
      <sz val="8"/>
      <name val="Arial"/>
      <family val="2"/>
    </font>
    <font>
      <b/>
      <sz val="10"/>
      <name val="Arial,Bold"/>
    </font>
    <font>
      <b/>
      <sz val="10"/>
      <name val="Times New Roman"/>
      <family val="1"/>
    </font>
    <font>
      <b/>
      <sz val="8"/>
      <name val="Times New Roman"/>
      <family val="1"/>
    </font>
    <font>
      <sz val="8"/>
      <name val="Arial"/>
      <family val="2"/>
    </font>
    <font>
      <b/>
      <sz val="11"/>
      <name val="Times New Roman"/>
      <family val="1"/>
    </font>
    <font>
      <sz val="8"/>
      <name val="Times New Roman"/>
      <family val="1"/>
    </font>
    <font>
      <sz val="10"/>
      <name val="Times New Roman"/>
      <family val="1"/>
    </font>
    <font>
      <b/>
      <sz val="6"/>
      <name val="Times New Roman"/>
      <family val="1"/>
    </font>
    <font>
      <sz val="7"/>
      <name val="Times New Roman"/>
      <family val="1"/>
    </font>
    <font>
      <sz val="10"/>
      <name val="Arial,Bold"/>
    </font>
    <font>
      <b/>
      <sz val="18"/>
      <name val="Arial"/>
      <family val="2"/>
    </font>
    <font>
      <sz val="14"/>
      <name val="Arial"/>
      <family val="2"/>
    </font>
    <font>
      <b/>
      <sz val="12"/>
      <name val="Times New Roman"/>
      <family val="1"/>
    </font>
    <font>
      <sz val="12"/>
      <name val="Arial"/>
      <family val="2"/>
    </font>
    <font>
      <sz val="12"/>
      <name val="Times New Roman"/>
      <family val="1"/>
    </font>
    <font>
      <b/>
      <sz val="8"/>
      <color indexed="10"/>
      <name val="Arial"/>
      <family val="2"/>
    </font>
    <font>
      <b/>
      <sz val="10"/>
      <color indexed="10"/>
      <name val="Arial"/>
      <family val="2"/>
    </font>
    <font>
      <b/>
      <sz val="9"/>
      <color indexed="10"/>
      <name val="Arial"/>
      <family val="2"/>
    </font>
    <font>
      <b/>
      <sz val="11"/>
      <color indexed="10"/>
      <name val="Times New Roman"/>
      <family val="1"/>
    </font>
    <font>
      <sz val="10"/>
      <color indexed="10"/>
      <name val="Arial"/>
      <family val="2"/>
    </font>
    <font>
      <b/>
      <sz val="8"/>
      <color indexed="59"/>
      <name val="Arial"/>
      <family val="2"/>
    </font>
    <font>
      <b/>
      <sz val="10"/>
      <color indexed="59"/>
      <name val="Arial"/>
      <family val="2"/>
    </font>
    <font>
      <b/>
      <sz val="9"/>
      <color indexed="59"/>
      <name val="Arial"/>
      <family val="2"/>
    </font>
    <font>
      <sz val="9"/>
      <color indexed="59"/>
      <name val="Arial"/>
      <family val="2"/>
    </font>
    <font>
      <sz val="10"/>
      <color indexed="59"/>
      <name val="Arial"/>
      <family val="2"/>
    </font>
    <font>
      <sz val="11"/>
      <color indexed="59"/>
      <name val="Arial"/>
      <family val="2"/>
    </font>
    <font>
      <sz val="8"/>
      <color indexed="8"/>
      <name val="Arial"/>
      <family val="2"/>
    </font>
    <font>
      <b/>
      <sz val="8"/>
      <color indexed="8"/>
      <name val="Arial"/>
      <family val="2"/>
    </font>
    <font>
      <sz val="9"/>
      <color indexed="81"/>
      <name val="Tahoma"/>
      <family val="2"/>
    </font>
    <font>
      <b/>
      <sz val="9"/>
      <color indexed="81"/>
      <name val="Tahoma"/>
      <family val="2"/>
    </font>
    <font>
      <b/>
      <sz val="12"/>
      <color indexed="9"/>
      <name val="Tahoma"/>
      <family val="2"/>
    </font>
    <font>
      <b/>
      <u/>
      <sz val="12"/>
      <color indexed="81"/>
      <name val="Tahoma"/>
      <family val="2"/>
    </font>
    <font>
      <sz val="12"/>
      <color indexed="81"/>
      <name val="Tahoma"/>
      <family val="2"/>
    </font>
    <font>
      <b/>
      <sz val="12"/>
      <color indexed="81"/>
      <name val="Tahoma"/>
      <family val="2"/>
    </font>
    <font>
      <b/>
      <sz val="16"/>
      <name val="Arial"/>
      <family val="2"/>
    </font>
    <font>
      <b/>
      <sz val="10"/>
      <color indexed="12"/>
      <name val="Arial"/>
      <family val="2"/>
    </font>
    <font>
      <sz val="8"/>
      <color theme="1"/>
      <name val="Arial"/>
      <family val="2"/>
    </font>
    <font>
      <sz val="8"/>
      <color rgb="FFFF0000"/>
      <name val="Arial"/>
      <family val="2"/>
    </font>
    <font>
      <b/>
      <sz val="10"/>
      <color theme="1"/>
      <name val="Arial"/>
      <family val="2"/>
    </font>
    <font>
      <b/>
      <sz val="8"/>
      <color rgb="FFFF0000"/>
      <name val="Arial"/>
      <family val="2"/>
    </font>
    <font>
      <sz val="10"/>
      <name val="Arial"/>
      <family val="2"/>
    </font>
    <font>
      <b/>
      <sz val="10"/>
      <color rgb="FFFF0000"/>
      <name val="Arial"/>
      <family val="2"/>
    </font>
    <font>
      <sz val="10"/>
      <color rgb="FFFF0000"/>
      <name val="Arial"/>
      <family val="2"/>
    </font>
    <font>
      <b/>
      <sz val="8"/>
      <color theme="1"/>
      <name val="Arial"/>
      <family val="2"/>
    </font>
    <font>
      <sz val="9"/>
      <color rgb="FFFF0000"/>
      <name val="Arial"/>
      <family val="2"/>
    </font>
    <font>
      <sz val="9"/>
      <color rgb="FF404040"/>
      <name val="Segoe UI"/>
      <family val="2"/>
    </font>
    <font>
      <sz val="11"/>
      <color rgb="FF000000"/>
      <name val="Calibri"/>
      <family val="2"/>
    </font>
    <font>
      <sz val="11"/>
      <name val="Calibri"/>
      <family val="2"/>
      <scheme val="minor"/>
    </font>
    <font>
      <b/>
      <sz val="12"/>
      <color rgb="FFFF0000"/>
      <name val="Arial"/>
      <family val="2"/>
    </font>
    <font>
      <sz val="9"/>
      <name val="Calibri"/>
      <family val="2"/>
      <scheme val="minor"/>
    </font>
    <font>
      <sz val="10"/>
      <color rgb="FF222222"/>
      <name val="Arial"/>
      <family val="2"/>
    </font>
    <font>
      <sz val="10"/>
      <color theme="1"/>
      <name val="Arial"/>
      <family val="2"/>
    </font>
    <font>
      <sz val="10"/>
      <name val="Arial"/>
      <family val="2"/>
    </font>
    <font>
      <sz val="11"/>
      <color theme="1"/>
      <name val="Calibri"/>
      <family val="2"/>
    </font>
    <font>
      <sz val="11"/>
      <name val="Calibri"/>
      <family val="2"/>
    </font>
    <font>
      <sz val="48"/>
      <color rgb="FFFF0000"/>
      <name val="Arial"/>
      <family val="2"/>
    </font>
  </fonts>
  <fills count="15">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52"/>
        <bgColor indexed="64"/>
      </patternFill>
    </fill>
    <fill>
      <patternFill patternType="solid">
        <fgColor indexed="44"/>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rgb="FFFF0000"/>
        <bgColor indexed="64"/>
      </patternFill>
    </fill>
    <fill>
      <patternFill patternType="solid">
        <fgColor rgb="FFFFFFFF"/>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2">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41" fontId="57" fillId="0" borderId="0" applyFont="0" applyFill="0" applyBorder="0" applyAlignment="0" applyProtection="0"/>
    <xf numFmtId="42" fontId="69"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113">
    <xf numFmtId="0" fontId="0" fillId="0" borderId="0" xfId="0"/>
    <xf numFmtId="0" fontId="0" fillId="0" borderId="0" xfId="0" applyFill="1"/>
    <xf numFmtId="164" fontId="0" fillId="0" borderId="0" xfId="2" applyFont="1"/>
    <xf numFmtId="0" fontId="0" fillId="0" borderId="1" xfId="0" applyBorder="1"/>
    <xf numFmtId="0" fontId="0" fillId="0" borderId="2" xfId="0" applyBorder="1"/>
    <xf numFmtId="0" fontId="4" fillId="0" borderId="3" xfId="0" applyFont="1" applyFill="1" applyBorder="1"/>
    <xf numFmtId="0" fontId="0" fillId="0" borderId="1" xfId="0" applyFill="1" applyBorder="1"/>
    <xf numFmtId="164" fontId="0" fillId="0" borderId="1" xfId="2" applyFont="1" applyFill="1" applyBorder="1"/>
    <xf numFmtId="0" fontId="7" fillId="0" borderId="0" xfId="0" applyFont="1"/>
    <xf numFmtId="49" fontId="0" fillId="0" borderId="0" xfId="0" applyNumberFormat="1"/>
    <xf numFmtId="0" fontId="0" fillId="0" borderId="0" xfId="0" applyAlignment="1">
      <alignment horizontal="centerContinuous" vertical="center"/>
    </xf>
    <xf numFmtId="0" fontId="14" fillId="0" borderId="0" xfId="0" applyFont="1"/>
    <xf numFmtId="49" fontId="14" fillId="0" borderId="0" xfId="0" applyNumberFormat="1" applyFont="1" applyAlignment="1">
      <alignment horizontal="centerContinuous" vertical="center"/>
    </xf>
    <xf numFmtId="49" fontId="14" fillId="0" borderId="0" xfId="0" applyNumberFormat="1" applyFont="1"/>
    <xf numFmtId="0" fontId="15" fillId="0" borderId="4" xfId="0" applyFont="1" applyBorder="1" applyAlignment="1">
      <alignment horizontal="center"/>
    </xf>
    <xf numFmtId="0" fontId="14" fillId="0" borderId="5" xfId="0" applyFont="1" applyBorder="1"/>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xf numFmtId="0" fontId="15" fillId="0" borderId="7" xfId="0" applyFont="1" applyBorder="1" applyAlignment="1">
      <alignment horizontal="center"/>
    </xf>
    <xf numFmtId="0" fontId="15" fillId="0" borderId="1" xfId="0" applyFont="1" applyBorder="1" applyAlignment="1">
      <alignment horizontal="center"/>
    </xf>
    <xf numFmtId="0" fontId="15" fillId="0" borderId="8" xfId="0" applyFont="1" applyBorder="1" applyAlignment="1">
      <alignment horizontal="center"/>
    </xf>
    <xf numFmtId="0" fontId="14" fillId="0" borderId="9" xfId="0" applyFont="1" applyBorder="1"/>
    <xf numFmtId="0" fontId="15" fillId="0" borderId="9" xfId="0" applyFont="1" applyBorder="1" applyAlignment="1">
      <alignment horizontal="center"/>
    </xf>
    <xf numFmtId="0" fontId="15" fillId="0" borderId="2" xfId="0" applyFont="1" applyBorder="1" applyAlignment="1">
      <alignment horizontal="center"/>
    </xf>
    <xf numFmtId="49" fontId="15" fillId="0" borderId="2" xfId="0" applyNumberFormat="1" applyFont="1" applyBorder="1" applyAlignment="1">
      <alignment horizontal="center"/>
    </xf>
    <xf numFmtId="0" fontId="14" fillId="0" borderId="6" xfId="0" applyFont="1" applyBorder="1" applyAlignment="1">
      <alignment horizontal="center"/>
    </xf>
    <xf numFmtId="0" fontId="14" fillId="0" borderId="4" xfId="0" applyFont="1" applyBorder="1"/>
    <xf numFmtId="49" fontId="14" fillId="0" borderId="4" xfId="0" applyNumberFormat="1" applyFont="1" applyBorder="1" applyAlignment="1">
      <alignment horizontal="center"/>
    </xf>
    <xf numFmtId="4" fontId="14" fillId="0" borderId="4" xfId="0" applyNumberFormat="1" applyFont="1" applyBorder="1"/>
    <xf numFmtId="0" fontId="14" fillId="0" borderId="4" xfId="0" applyFont="1" applyBorder="1" applyAlignment="1">
      <alignment horizontal="center"/>
    </xf>
    <xf numFmtId="4" fontId="14" fillId="0" borderId="6" xfId="0" applyNumberFormat="1" applyFont="1" applyBorder="1"/>
    <xf numFmtId="0" fontId="14" fillId="0" borderId="1" xfId="0" applyFont="1" applyBorder="1" applyAlignment="1">
      <alignment horizontal="center"/>
    </xf>
    <xf numFmtId="0" fontId="14" fillId="0" borderId="0" xfId="0" applyFont="1" applyBorder="1"/>
    <xf numFmtId="4" fontId="14" fillId="0" borderId="1" xfId="0" applyNumberFormat="1" applyFont="1" applyBorder="1"/>
    <xf numFmtId="49" fontId="14" fillId="0" borderId="0" xfId="0" applyNumberFormat="1" applyFont="1" applyBorder="1"/>
    <xf numFmtId="0" fontId="14" fillId="0" borderId="1" xfId="0" applyFont="1" applyBorder="1"/>
    <xf numFmtId="4" fontId="15" fillId="0" borderId="1" xfId="0" applyNumberFormat="1" applyFont="1" applyBorder="1"/>
    <xf numFmtId="0" fontId="15" fillId="0" borderId="0" xfId="0" applyFont="1"/>
    <xf numFmtId="0" fontId="14" fillId="0" borderId="7" xfId="0" applyFont="1" applyBorder="1"/>
    <xf numFmtId="0" fontId="15" fillId="0" borderId="10" xfId="0" applyFont="1" applyBorder="1" applyAlignment="1">
      <alignment horizontal="center"/>
    </xf>
    <xf numFmtId="0" fontId="15" fillId="0" borderId="11" xfId="0" applyFont="1" applyBorder="1"/>
    <xf numFmtId="0" fontId="14" fillId="0" borderId="11" xfId="0" applyFont="1" applyBorder="1"/>
    <xf numFmtId="0" fontId="14" fillId="0" borderId="12" xfId="0" applyFont="1" applyBorder="1"/>
    <xf numFmtId="0" fontId="5" fillId="0" borderId="0" xfId="0" applyFont="1"/>
    <xf numFmtId="0" fontId="15" fillId="0" borderId="13" xfId="0" applyFont="1" applyBorder="1"/>
    <xf numFmtId="0" fontId="14" fillId="0" borderId="13" xfId="0" applyFont="1" applyBorder="1"/>
    <xf numFmtId="0" fontId="14" fillId="0" borderId="0" xfId="0" applyFont="1" applyBorder="1" applyAlignment="1">
      <alignment horizontal="left"/>
    </xf>
    <xf numFmtId="4" fontId="14" fillId="0" borderId="0" xfId="0" applyNumberFormat="1" applyFont="1" applyBorder="1" applyAlignment="1">
      <alignment horizontal="center"/>
    </xf>
    <xf numFmtId="0" fontId="0" fillId="0" borderId="0" xfId="0" applyAlignment="1">
      <alignment horizontal="left"/>
    </xf>
    <xf numFmtId="0" fontId="15" fillId="0" borderId="14" xfId="0" applyFont="1" applyBorder="1"/>
    <xf numFmtId="0" fontId="14" fillId="0" borderId="15" xfId="0" applyFont="1" applyBorder="1"/>
    <xf numFmtId="0" fontId="15" fillId="0" borderId="15" xfId="0" applyFont="1" applyBorder="1"/>
    <xf numFmtId="0" fontId="14" fillId="0" borderId="16" xfId="0" applyFont="1" applyBorder="1"/>
    <xf numFmtId="0" fontId="4" fillId="0" borderId="0" xfId="0" applyFont="1" applyAlignment="1">
      <alignment horizontal="left"/>
    </xf>
    <xf numFmtId="0" fontId="4" fillId="0" borderId="0" xfId="0" applyFont="1"/>
    <xf numFmtId="0" fontId="1" fillId="0" borderId="0" xfId="0" applyFont="1"/>
    <xf numFmtId="0" fontId="18" fillId="0" borderId="0" xfId="0" applyFont="1" applyAlignment="1">
      <alignment horizontal="center"/>
    </xf>
    <xf numFmtId="0" fontId="19" fillId="0" borderId="13" xfId="0" applyFont="1" applyBorder="1" applyAlignment="1">
      <alignment horizontal="center" vertical="justify"/>
    </xf>
    <xf numFmtId="0" fontId="3" fillId="0" borderId="0" xfId="0" applyFont="1"/>
    <xf numFmtId="164" fontId="3" fillId="0" borderId="0" xfId="2" applyFont="1"/>
    <xf numFmtId="0" fontId="3" fillId="0" borderId="13" xfId="0" applyFont="1" applyBorder="1"/>
    <xf numFmtId="164" fontId="3" fillId="0" borderId="13" xfId="2" applyFont="1" applyBorder="1"/>
    <xf numFmtId="0" fontId="16" fillId="0" borderId="13" xfId="0" applyFont="1" applyBorder="1"/>
    <xf numFmtId="0" fontId="16" fillId="0" borderId="6" xfId="0" applyFont="1" applyBorder="1"/>
    <xf numFmtId="0" fontId="3" fillId="0" borderId="5" xfId="0" applyFont="1" applyBorder="1"/>
    <xf numFmtId="0" fontId="3" fillId="0" borderId="9" xfId="0" applyFont="1" applyBorder="1"/>
    <xf numFmtId="0" fontId="3" fillId="0" borderId="0" xfId="0" applyFont="1" applyBorder="1"/>
    <xf numFmtId="164" fontId="3" fillId="0" borderId="0" xfId="2" applyFont="1" applyBorder="1"/>
    <xf numFmtId="0" fontId="3" fillId="0" borderId="6" xfId="0" applyFont="1" applyBorder="1"/>
    <xf numFmtId="164" fontId="3" fillId="0" borderId="6" xfId="2" applyFont="1" applyBorder="1"/>
    <xf numFmtId="0" fontId="21" fillId="0" borderId="0" xfId="0" applyFont="1" applyAlignment="1">
      <alignment horizontal="center"/>
    </xf>
    <xf numFmtId="164" fontId="3" fillId="0" borderId="2" xfId="2" applyFont="1" applyBorder="1"/>
    <xf numFmtId="0" fontId="3" fillId="0" borderId="5" xfId="0" applyFont="1" applyBorder="1" applyAlignment="1">
      <alignment horizontal="fill" vertical="justify"/>
    </xf>
    <xf numFmtId="0" fontId="3" fillId="0" borderId="9" xfId="0" applyFont="1" applyBorder="1" applyAlignment="1">
      <alignment horizontal="fill" vertical="justify"/>
    </xf>
    <xf numFmtId="0" fontId="3" fillId="0" borderId="2" xfId="0" applyFont="1" applyBorder="1" applyAlignment="1">
      <alignment horizontal="fill" vertical="justify"/>
    </xf>
    <xf numFmtId="0" fontId="3" fillId="0" borderId="5" xfId="0" applyFont="1" applyFill="1" applyBorder="1"/>
    <xf numFmtId="164" fontId="3" fillId="0" borderId="4" xfId="2" applyFont="1" applyFill="1" applyBorder="1"/>
    <xf numFmtId="0" fontId="3" fillId="0" borderId="9" xfId="0" applyFont="1" applyFill="1" applyBorder="1"/>
    <xf numFmtId="164" fontId="3" fillId="0" borderId="8" xfId="2" applyFont="1" applyFill="1" applyBorder="1"/>
    <xf numFmtId="0" fontId="3" fillId="0" borderId="2" xfId="0" applyFont="1" applyBorder="1"/>
    <xf numFmtId="0" fontId="19" fillId="0" borderId="13" xfId="0" applyFont="1" applyBorder="1"/>
    <xf numFmtId="164" fontId="19" fillId="0" borderId="13" xfId="2" applyFont="1" applyBorder="1"/>
    <xf numFmtId="164" fontId="3" fillId="0" borderId="4" xfId="2" applyFont="1" applyBorder="1"/>
    <xf numFmtId="164" fontId="3" fillId="0" borderId="8" xfId="2" applyFont="1" applyBorder="1"/>
    <xf numFmtId="0" fontId="19" fillId="0" borderId="6" xfId="0" applyFont="1" applyBorder="1"/>
    <xf numFmtId="0" fontId="19" fillId="0" borderId="2" xfId="0" applyFont="1" applyBorder="1"/>
    <xf numFmtId="0" fontId="3" fillId="0" borderId="7" xfId="0" applyFont="1" applyBorder="1"/>
    <xf numFmtId="0" fontId="3" fillId="0" borderId="1" xfId="0" applyFont="1" applyBorder="1"/>
    <xf numFmtId="0" fontId="19" fillId="0" borderId="1" xfId="0" applyFont="1" applyBorder="1"/>
    <xf numFmtId="164" fontId="24" fillId="0" borderId="13" xfId="2" applyFont="1" applyBorder="1" applyAlignment="1">
      <alignment horizontal="center" vertical="justify"/>
    </xf>
    <xf numFmtId="0" fontId="19" fillId="0" borderId="5" xfId="0" applyFont="1" applyBorder="1"/>
    <xf numFmtId="0" fontId="19" fillId="0" borderId="2" xfId="0" applyFont="1" applyBorder="1" applyAlignment="1">
      <alignment horizontal="center" vertical="justify"/>
    </xf>
    <xf numFmtId="164" fontId="24" fillId="0" borderId="2" xfId="2" applyFont="1" applyBorder="1" applyAlignment="1">
      <alignment horizontal="center" vertical="justify"/>
    </xf>
    <xf numFmtId="0" fontId="23" fillId="0" borderId="0" xfId="0" applyFont="1"/>
    <xf numFmtId="0" fontId="25" fillId="0" borderId="0" xfId="0" applyFont="1" applyAlignment="1">
      <alignment horizontal="left" indent="2"/>
    </xf>
    <xf numFmtId="0" fontId="10" fillId="0" borderId="17" xfId="0" applyFont="1" applyBorder="1"/>
    <xf numFmtId="4" fontId="8" fillId="0" borderId="12" xfId="0" applyNumberFormat="1" applyFont="1" applyBorder="1" applyAlignment="1">
      <alignment horizontal="right"/>
    </xf>
    <xf numFmtId="0" fontId="10" fillId="0" borderId="15" xfId="0" applyFont="1" applyBorder="1" applyAlignment="1">
      <alignment horizontal="center"/>
    </xf>
    <xf numFmtId="0" fontId="8" fillId="0" borderId="18" xfId="0" applyFont="1" applyBorder="1"/>
    <xf numFmtId="0" fontId="8" fillId="0" borderId="18" xfId="0" applyFont="1" applyBorder="1" applyAlignment="1">
      <alignment horizontal="right"/>
    </xf>
    <xf numFmtId="0" fontId="5" fillId="0" borderId="15" xfId="0" applyFont="1" applyBorder="1" applyAlignment="1">
      <alignment horizontal="center"/>
    </xf>
    <xf numFmtId="0" fontId="5" fillId="0" borderId="18" xfId="0" applyFont="1" applyBorder="1"/>
    <xf numFmtId="4" fontId="5" fillId="0" borderId="18" xfId="0" applyNumberFormat="1" applyFont="1" applyBorder="1" applyAlignment="1">
      <alignment horizontal="right"/>
    </xf>
    <xf numFmtId="0" fontId="5" fillId="0" borderId="16" xfId="0" applyFont="1" applyBorder="1" applyAlignment="1">
      <alignment horizontal="center"/>
    </xf>
    <xf numFmtId="0" fontId="5" fillId="0" borderId="19" xfId="0" applyFont="1" applyBorder="1"/>
    <xf numFmtId="4" fontId="5" fillId="0" borderId="19" xfId="0" applyNumberFormat="1" applyFont="1" applyBorder="1" applyAlignment="1">
      <alignment horizontal="right"/>
    </xf>
    <xf numFmtId="0" fontId="8" fillId="0" borderId="12" xfId="0" applyFont="1" applyBorder="1"/>
    <xf numFmtId="0" fontId="18" fillId="0" borderId="0" xfId="0" applyFont="1" applyAlignment="1">
      <alignment horizontal="left" indent="2"/>
    </xf>
    <xf numFmtId="0" fontId="10" fillId="0" borderId="15" xfId="0" applyFont="1" applyBorder="1"/>
    <xf numFmtId="0" fontId="9" fillId="0" borderId="16" xfId="0" applyFont="1" applyBorder="1"/>
    <xf numFmtId="0" fontId="9" fillId="0" borderId="19" xfId="0" applyFont="1" applyBorder="1"/>
    <xf numFmtId="0" fontId="5" fillId="0" borderId="19" xfId="0" applyFont="1" applyBorder="1" applyAlignment="1">
      <alignment horizontal="right"/>
    </xf>
    <xf numFmtId="0" fontId="18" fillId="0" borderId="0" xfId="0" applyFont="1" applyAlignment="1">
      <alignment horizontal="left"/>
    </xf>
    <xf numFmtId="0" fontId="16" fillId="0" borderId="13" xfId="0" applyFont="1" applyBorder="1" applyAlignment="1">
      <alignment horizontal="center"/>
    </xf>
    <xf numFmtId="0" fontId="16" fillId="0" borderId="13" xfId="0" applyFont="1" applyFill="1" applyBorder="1" applyAlignment="1">
      <alignment horizontal="center"/>
    </xf>
    <xf numFmtId="0" fontId="3" fillId="0" borderId="0" xfId="0" applyFont="1" applyFill="1"/>
    <xf numFmtId="0" fontId="16" fillId="0" borderId="0" xfId="0" applyFont="1" applyFill="1" applyAlignment="1">
      <alignment horizontal="center"/>
    </xf>
    <xf numFmtId="0" fontId="16" fillId="0" borderId="0" xfId="0" applyFont="1"/>
    <xf numFmtId="0" fontId="3" fillId="0" borderId="0" xfId="0" applyFont="1" applyFill="1" applyAlignment="1">
      <alignment horizontal="left"/>
    </xf>
    <xf numFmtId="164" fontId="3" fillId="0" borderId="0" xfId="2" applyFont="1" applyFill="1"/>
    <xf numFmtId="0" fontId="7" fillId="0" borderId="17" xfId="0" applyFont="1" applyBorder="1"/>
    <xf numFmtId="0" fontId="7" fillId="0" borderId="11" xfId="0" applyFont="1" applyBorder="1"/>
    <xf numFmtId="0" fontId="7" fillId="0" borderId="12" xfId="0" applyFont="1" applyBorder="1"/>
    <xf numFmtId="0" fontId="4" fillId="0" borderId="15" xfId="0" applyFont="1" applyBorder="1" applyAlignment="1">
      <alignment horizontal="center"/>
    </xf>
    <xf numFmtId="0" fontId="7" fillId="0" borderId="20" xfId="0" applyFont="1" applyBorder="1"/>
    <xf numFmtId="0" fontId="7" fillId="0" borderId="18" xfId="0" applyFont="1" applyBorder="1"/>
    <xf numFmtId="0" fontId="4" fillId="0" borderId="18" xfId="0" applyFont="1" applyBorder="1" applyAlignment="1">
      <alignment horizontal="center"/>
    </xf>
    <xf numFmtId="0" fontId="4" fillId="0" borderId="16" xfId="0" applyFont="1" applyBorder="1" applyAlignment="1">
      <alignment horizontal="center"/>
    </xf>
    <xf numFmtId="0" fontId="4" fillId="0" borderId="21" xfId="0" applyFont="1" applyBorder="1" applyAlignment="1">
      <alignment horizontal="center"/>
    </xf>
    <xf numFmtId="0" fontId="4" fillId="0" borderId="19" xfId="0" applyFont="1" applyBorder="1" applyAlignment="1">
      <alignment horizontal="center"/>
    </xf>
    <xf numFmtId="0" fontId="4" fillId="0" borderId="22"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vertical="top"/>
    </xf>
    <xf numFmtId="4" fontId="7" fillId="0" borderId="21" xfId="0" applyNumberFormat="1" applyFont="1" applyBorder="1" applyAlignment="1">
      <alignment vertical="top"/>
    </xf>
    <xf numFmtId="4" fontId="4" fillId="0" borderId="21" xfId="0" applyNumberFormat="1" applyFont="1" applyBorder="1" applyAlignment="1">
      <alignment horizontal="right" vertical="top"/>
    </xf>
    <xf numFmtId="4" fontId="7" fillId="0" borderId="22" xfId="0" applyNumberFormat="1" applyFont="1" applyBorder="1" applyAlignment="1">
      <alignment horizontal="left" vertical="top" indent="1"/>
    </xf>
    <xf numFmtId="0" fontId="4" fillId="0" borderId="16" xfId="0" applyFont="1" applyBorder="1"/>
    <xf numFmtId="0" fontId="4" fillId="0" borderId="21" xfId="0" applyFont="1" applyBorder="1"/>
    <xf numFmtId="4" fontId="4" fillId="0" borderId="19" xfId="0" applyNumberFormat="1" applyFont="1" applyBorder="1" applyAlignment="1">
      <alignment horizontal="right"/>
    </xf>
    <xf numFmtId="0" fontId="4" fillId="0" borderId="17" xfId="0" applyFont="1" applyBorder="1"/>
    <xf numFmtId="0" fontId="4" fillId="0" borderId="23" xfId="0" applyFont="1" applyBorder="1"/>
    <xf numFmtId="0" fontId="8" fillId="0" borderId="0" xfId="0" applyFont="1" applyAlignment="1">
      <alignment horizontal="center"/>
    </xf>
    <xf numFmtId="0" fontId="14" fillId="0" borderId="22" xfId="0" applyFont="1" applyBorder="1"/>
    <xf numFmtId="0" fontId="15" fillId="0" borderId="24" xfId="0" applyFont="1" applyBorder="1" applyAlignment="1">
      <alignment horizontal="center" wrapText="1"/>
    </xf>
    <xf numFmtId="0" fontId="15" fillId="0" borderId="18" xfId="0" applyFont="1" applyBorder="1" applyAlignment="1">
      <alignment horizontal="center" wrapText="1"/>
    </xf>
    <xf numFmtId="0" fontId="15" fillId="0" borderId="0" xfId="0" applyFont="1" applyAlignment="1">
      <alignment horizontal="center"/>
    </xf>
    <xf numFmtId="0" fontId="15" fillId="0" borderId="18" xfId="0" applyFont="1" applyBorder="1" applyAlignment="1">
      <alignment horizontal="center"/>
    </xf>
    <xf numFmtId="4" fontId="14" fillId="0" borderId="0" xfId="0" applyNumberFormat="1" applyFont="1" applyAlignment="1">
      <alignment horizontal="right"/>
    </xf>
    <xf numFmtId="4" fontId="14" fillId="0" borderId="18" xfId="0" applyNumberFormat="1" applyFont="1" applyBorder="1" applyAlignment="1">
      <alignment horizontal="right"/>
    </xf>
    <xf numFmtId="0" fontId="14" fillId="0" borderId="15" xfId="0" applyFont="1" applyBorder="1" applyAlignment="1">
      <alignment wrapText="1"/>
    </xf>
    <xf numFmtId="0" fontId="14" fillId="0" borderId="0" xfId="0" applyFont="1" applyAlignment="1">
      <alignment horizontal="right"/>
    </xf>
    <xf numFmtId="0" fontId="14" fillId="0" borderId="18" xfId="0" applyFont="1" applyBorder="1" applyAlignment="1">
      <alignment horizontal="right"/>
    </xf>
    <xf numFmtId="0" fontId="14" fillId="0" borderId="25" xfId="0" applyFont="1" applyBorder="1"/>
    <xf numFmtId="0" fontId="14" fillId="0" borderId="26" xfId="0" applyFont="1" applyBorder="1"/>
    <xf numFmtId="0" fontId="14" fillId="0" borderId="18" xfId="0" applyFont="1" applyBorder="1"/>
    <xf numFmtId="4" fontId="14" fillId="0" borderId="22" xfId="0" applyNumberFormat="1" applyFont="1" applyBorder="1" applyAlignment="1">
      <alignment horizontal="right"/>
    </xf>
    <xf numFmtId="4" fontId="14" fillId="0" borderId="19" xfId="0" applyNumberFormat="1" applyFont="1" applyBorder="1" applyAlignment="1">
      <alignment horizontal="right"/>
    </xf>
    <xf numFmtId="0" fontId="25" fillId="0" borderId="0" xfId="0" applyFont="1"/>
    <xf numFmtId="0" fontId="7" fillId="0" borderId="19" xfId="0" applyFont="1" applyBorder="1" applyAlignment="1">
      <alignment vertical="justify"/>
    </xf>
    <xf numFmtId="0" fontId="17" fillId="0" borderId="27" xfId="0" applyFont="1" applyBorder="1" applyAlignment="1">
      <alignment vertical="top" wrapText="1"/>
    </xf>
    <xf numFmtId="0" fontId="17" fillId="0" borderId="24" xfId="0" applyFont="1" applyBorder="1" applyAlignment="1">
      <alignment horizontal="center" vertical="top" wrapText="1"/>
    </xf>
    <xf numFmtId="0" fontId="17" fillId="0" borderId="27" xfId="0" applyFont="1" applyBorder="1" applyAlignment="1">
      <alignment horizontal="center" vertical="top" wrapText="1"/>
    </xf>
    <xf numFmtId="0" fontId="17" fillId="0" borderId="12" xfId="0" applyFont="1" applyBorder="1" applyAlignment="1">
      <alignment vertical="top" wrapText="1"/>
    </xf>
    <xf numFmtId="4" fontId="4" fillId="0" borderId="12" xfId="0" applyNumberFormat="1" applyFont="1" applyBorder="1" applyAlignment="1">
      <alignment horizontal="right" wrapText="1"/>
    </xf>
    <xf numFmtId="0" fontId="17" fillId="0" borderId="19" xfId="0" applyFont="1" applyBorder="1" applyAlignment="1">
      <alignment vertical="top" wrapText="1"/>
    </xf>
    <xf numFmtId="0" fontId="4" fillId="0" borderId="19" xfId="0" applyFont="1" applyBorder="1" applyAlignment="1">
      <alignment horizontal="right" wrapText="1"/>
    </xf>
    <xf numFmtId="0" fontId="7" fillId="0" borderId="19" xfId="0" applyFont="1" applyBorder="1" applyAlignment="1">
      <alignment vertical="top" wrapText="1"/>
    </xf>
    <xf numFmtId="0" fontId="4" fillId="0" borderId="19" xfId="0" applyFont="1" applyBorder="1" applyAlignment="1">
      <alignment vertical="top" wrapText="1"/>
    </xf>
    <xf numFmtId="0" fontId="8" fillId="0" borderId="19" xfId="0" applyFont="1" applyBorder="1" applyAlignment="1">
      <alignment vertical="top" wrapText="1"/>
    </xf>
    <xf numFmtId="0" fontId="7" fillId="0" borderId="0" xfId="0" applyFont="1" applyAlignment="1">
      <alignment horizontal="left"/>
    </xf>
    <xf numFmtId="0" fontId="15" fillId="0" borderId="0" xfId="0" applyFont="1" applyAlignment="1">
      <alignment horizontal="left"/>
    </xf>
    <xf numFmtId="0" fontId="17" fillId="0" borderId="23" xfId="0" applyFont="1" applyBorder="1" applyAlignment="1">
      <alignment horizontal="left" vertical="top" wrapText="1"/>
    </xf>
    <xf numFmtId="0" fontId="17" fillId="0" borderId="21" xfId="0" applyFont="1" applyBorder="1" applyAlignment="1">
      <alignment horizontal="left" vertical="top" wrapText="1"/>
    </xf>
    <xf numFmtId="0" fontId="10" fillId="0" borderId="21" xfId="0" applyFont="1" applyBorder="1" applyAlignment="1">
      <alignment horizontal="left" vertical="top" wrapText="1"/>
    </xf>
    <xf numFmtId="0" fontId="1" fillId="0" borderId="0" xfId="0" applyFont="1" applyAlignment="1">
      <alignment horizontal="left"/>
    </xf>
    <xf numFmtId="0" fontId="17" fillId="0" borderId="14" xfId="0" applyFont="1" applyBorder="1" applyAlignment="1">
      <alignment horizontal="left" vertical="justify" wrapText="1"/>
    </xf>
    <xf numFmtId="0" fontId="17" fillId="0" borderId="14" xfId="0" applyFont="1" applyBorder="1" applyAlignment="1">
      <alignment horizontal="center" vertical="justify" wrapText="1"/>
    </xf>
    <xf numFmtId="0" fontId="10" fillId="0" borderId="0" xfId="0" applyFont="1" applyAlignment="1">
      <alignment horizontal="justify"/>
    </xf>
    <xf numFmtId="0" fontId="20" fillId="0" borderId="0" xfId="0" applyFont="1" applyFill="1"/>
    <xf numFmtId="0" fontId="4" fillId="0" borderId="0" xfId="0" applyFont="1" applyFill="1" applyAlignment="1">
      <alignment horizontal="center"/>
    </xf>
    <xf numFmtId="0" fontId="4" fillId="0" borderId="13" xfId="1" applyFont="1" applyBorder="1" applyAlignment="1" applyProtection="1">
      <alignment horizontal="justify"/>
    </xf>
    <xf numFmtId="0" fontId="8" fillId="0" borderId="13" xfId="0" applyFont="1" applyBorder="1" applyAlignment="1">
      <alignment horizontal="justify"/>
    </xf>
    <xf numFmtId="0" fontId="10" fillId="0" borderId="13" xfId="0" applyFont="1" applyBorder="1" applyAlignment="1">
      <alignment horizontal="justify"/>
    </xf>
    <xf numFmtId="0" fontId="7" fillId="0" borderId="13" xfId="1" applyFont="1" applyBorder="1" applyAlignment="1" applyProtection="1">
      <alignment horizontal="justify"/>
    </xf>
    <xf numFmtId="0" fontId="4" fillId="0" borderId="13" xfId="1" applyFont="1" applyBorder="1" applyAlignment="1" applyProtection="1">
      <alignment horizontal="left"/>
    </xf>
    <xf numFmtId="0" fontId="7" fillId="0" borderId="13" xfId="0" applyFont="1" applyBorder="1"/>
    <xf numFmtId="0" fontId="4" fillId="0" borderId="13" xfId="1" applyFont="1" applyBorder="1" applyAlignment="1" applyProtection="1"/>
    <xf numFmtId="0" fontId="7" fillId="0" borderId="6" xfId="1" applyFont="1" applyBorder="1" applyAlignment="1" applyProtection="1">
      <alignment horizontal="justify"/>
    </xf>
    <xf numFmtId="0" fontId="4" fillId="0" borderId="2" xfId="1" applyFont="1" applyBorder="1" applyAlignment="1" applyProtection="1">
      <alignment horizontal="justify"/>
    </xf>
    <xf numFmtId="164" fontId="20" fillId="0" borderId="0" xfId="2" applyFont="1" applyFill="1"/>
    <xf numFmtId="164" fontId="16" fillId="0" borderId="13" xfId="2" applyFont="1" applyBorder="1" applyAlignment="1">
      <alignment horizontal="center"/>
    </xf>
    <xf numFmtId="164" fontId="7" fillId="0" borderId="0" xfId="2" applyFont="1"/>
    <xf numFmtId="164" fontId="16" fillId="0" borderId="13" xfId="0" applyNumberFormat="1" applyFont="1" applyBorder="1" applyAlignment="1">
      <alignment horizontal="center"/>
    </xf>
    <xf numFmtId="164" fontId="14" fillId="0" borderId="0" xfId="2" applyFont="1"/>
    <xf numFmtId="164" fontId="7" fillId="0" borderId="22" xfId="2" applyFont="1" applyBorder="1" applyAlignment="1">
      <alignment horizontal="left" vertical="top" indent="1"/>
    </xf>
    <xf numFmtId="164" fontId="4" fillId="0" borderId="11" xfId="2" applyFont="1" applyBorder="1"/>
    <xf numFmtId="164" fontId="4" fillId="0" borderId="23" xfId="2" applyFont="1" applyBorder="1" applyAlignment="1">
      <alignment horizontal="right"/>
    </xf>
    <xf numFmtId="164" fontId="4" fillId="0" borderId="12" xfId="2" applyFont="1" applyBorder="1" applyAlignment="1">
      <alignment horizontal="right"/>
    </xf>
    <xf numFmtId="164" fontId="14" fillId="0" borderId="0" xfId="0" applyNumberFormat="1" applyFont="1" applyBorder="1"/>
    <xf numFmtId="0" fontId="20" fillId="0" borderId="0" xfId="0" applyFont="1" applyFill="1" applyBorder="1"/>
    <xf numFmtId="164" fontId="16" fillId="0" borderId="2" xfId="2" applyFont="1" applyBorder="1" applyAlignment="1">
      <alignment horizontal="center"/>
    </xf>
    <xf numFmtId="164" fontId="16" fillId="0" borderId="13" xfId="2" applyFont="1" applyBorder="1" applyAlignment="1">
      <alignment horizontal="center" vertical="justify"/>
    </xf>
    <xf numFmtId="0" fontId="7" fillId="0" borderId="2" xfId="1" applyFont="1" applyBorder="1" applyAlignment="1" applyProtection="1">
      <alignment horizontal="justify"/>
    </xf>
    <xf numFmtId="0" fontId="4" fillId="0" borderId="9" xfId="1" applyFont="1" applyBorder="1" applyAlignment="1" applyProtection="1">
      <alignment horizontal="justify"/>
    </xf>
    <xf numFmtId="164" fontId="16" fillId="0" borderId="2" xfId="0" applyNumberFormat="1" applyFont="1" applyBorder="1" applyAlignment="1">
      <alignment horizontal="center"/>
    </xf>
    <xf numFmtId="4" fontId="4" fillId="0" borderId="19" xfId="0" applyNumberFormat="1" applyFont="1" applyBorder="1" applyAlignment="1">
      <alignment horizontal="right" wrapText="1"/>
    </xf>
    <xf numFmtId="0" fontId="26" fillId="0" borderId="19" xfId="0" applyFont="1" applyBorder="1" applyAlignment="1">
      <alignment vertical="top" wrapText="1"/>
    </xf>
    <xf numFmtId="0" fontId="26" fillId="0" borderId="21" xfId="0" applyFont="1" applyBorder="1" applyAlignment="1">
      <alignment horizontal="left" vertical="top" wrapText="1"/>
    </xf>
    <xf numFmtId="4" fontId="7" fillId="0" borderId="19" xfId="0" applyNumberFormat="1" applyFont="1" applyBorder="1" applyAlignment="1">
      <alignment horizontal="right" wrapText="1"/>
    </xf>
    <xf numFmtId="164" fontId="7" fillId="0" borderId="19" xfId="2" applyFont="1" applyBorder="1" applyAlignment="1">
      <alignment horizontal="right" wrapText="1"/>
    </xf>
    <xf numFmtId="4" fontId="17" fillId="0" borderId="19" xfId="0" applyNumberFormat="1" applyFont="1" applyBorder="1" applyAlignment="1">
      <alignment horizontal="right" vertical="top" wrapText="1"/>
    </xf>
    <xf numFmtId="0" fontId="0" fillId="0" borderId="13" xfId="0" applyBorder="1"/>
    <xf numFmtId="164" fontId="20" fillId="0" borderId="0" xfId="0" applyNumberFormat="1" applyFont="1" applyFill="1"/>
    <xf numFmtId="164" fontId="16" fillId="0" borderId="6" xfId="1" applyNumberFormat="1" applyFont="1" applyBorder="1" applyAlignment="1" applyProtection="1">
      <alignment horizontal="justify"/>
    </xf>
    <xf numFmtId="0" fontId="7" fillId="0" borderId="13" xfId="1" applyFont="1" applyBorder="1" applyAlignment="1" applyProtection="1">
      <alignment vertical="justify"/>
    </xf>
    <xf numFmtId="0" fontId="28" fillId="0" borderId="0" xfId="0" applyFont="1"/>
    <xf numFmtId="0" fontId="6" fillId="0" borderId="0" xfId="0" applyFont="1" applyAlignment="1">
      <alignment horizontal="center"/>
    </xf>
    <xf numFmtId="0" fontId="6" fillId="0" borderId="0" xfId="0" applyFont="1"/>
    <xf numFmtId="164" fontId="28" fillId="0" borderId="0" xfId="2" applyFont="1"/>
    <xf numFmtId="0" fontId="6" fillId="0" borderId="17" xfId="0" applyFont="1" applyBorder="1" applyAlignment="1">
      <alignment horizontal="center"/>
    </xf>
    <xf numFmtId="164" fontId="6" fillId="0" borderId="23" xfId="2" applyFont="1" applyBorder="1" applyAlignment="1">
      <alignment horizontal="center"/>
    </xf>
    <xf numFmtId="0" fontId="28" fillId="0" borderId="2" xfId="0" applyFont="1" applyBorder="1"/>
    <xf numFmtId="164" fontId="28" fillId="0" borderId="2" xfId="2" applyFont="1" applyBorder="1"/>
    <xf numFmtId="0" fontId="28" fillId="0" borderId="13" xfId="0" applyFont="1" applyBorder="1"/>
    <xf numFmtId="164" fontId="28" fillId="0" borderId="13" xfId="2" applyFont="1" applyBorder="1"/>
    <xf numFmtId="43" fontId="28" fillId="0" borderId="0" xfId="0" applyNumberFormat="1" applyFont="1"/>
    <xf numFmtId="164" fontId="28" fillId="0" borderId="0" xfId="0" applyNumberFormat="1" applyFont="1"/>
    <xf numFmtId="164" fontId="6" fillId="0" borderId="0" xfId="2" applyFont="1"/>
    <xf numFmtId="164" fontId="0" fillId="0" borderId="0" xfId="2" applyFont="1" applyAlignment="1">
      <alignment horizontal="centerContinuous" vertical="center"/>
    </xf>
    <xf numFmtId="164" fontId="14" fillId="0" borderId="0" xfId="2" applyFont="1" applyAlignment="1">
      <alignment horizontal="centerContinuous" vertical="center"/>
    </xf>
    <xf numFmtId="164" fontId="14" fillId="0" borderId="0" xfId="2" applyFont="1" applyBorder="1"/>
    <xf numFmtId="164" fontId="15" fillId="0" borderId="0" xfId="2" applyFont="1" applyBorder="1"/>
    <xf numFmtId="164" fontId="15" fillId="0" borderId="0" xfId="2" applyFont="1" applyBorder="1" applyAlignment="1"/>
    <xf numFmtId="164" fontId="15" fillId="0" borderId="0" xfId="2" applyFont="1"/>
    <xf numFmtId="164" fontId="14" fillId="0" borderId="0" xfId="0" applyNumberFormat="1" applyFont="1"/>
    <xf numFmtId="4" fontId="20" fillId="0" borderId="0" xfId="0" applyNumberFormat="1" applyFont="1" applyFill="1"/>
    <xf numFmtId="164" fontId="16" fillId="0" borderId="13" xfId="1" applyNumberFormat="1" applyFont="1" applyBorder="1" applyAlignment="1" applyProtection="1">
      <alignment horizontal="justify"/>
    </xf>
    <xf numFmtId="164" fontId="0" fillId="0" borderId="0" xfId="0" applyNumberFormat="1"/>
    <xf numFmtId="164" fontId="0" fillId="0" borderId="28" xfId="2" applyFont="1" applyFill="1" applyBorder="1"/>
    <xf numFmtId="164" fontId="0" fillId="0" borderId="2" xfId="2" applyFont="1" applyFill="1" applyBorder="1"/>
    <xf numFmtId="164" fontId="4" fillId="0" borderId="29" xfId="2" applyFont="1" applyFill="1" applyBorder="1"/>
    <xf numFmtId="0" fontId="21" fillId="0" borderId="0" xfId="0" applyFont="1" applyFill="1" applyAlignment="1">
      <alignment horizontal="center"/>
    </xf>
    <xf numFmtId="164" fontId="0" fillId="0" borderId="0" xfId="2" applyFont="1" applyFill="1"/>
    <xf numFmtId="4" fontId="0" fillId="0" borderId="0" xfId="0" applyNumberFormat="1"/>
    <xf numFmtId="0" fontId="0" fillId="0" borderId="2" xfId="0" applyBorder="1" applyAlignment="1">
      <alignment vertical="justify"/>
    </xf>
    <xf numFmtId="0" fontId="0" fillId="0" borderId="5" xfId="0" applyBorder="1"/>
    <xf numFmtId="0" fontId="3" fillId="0" borderId="0" xfId="0" applyFont="1" applyAlignment="1">
      <alignment horizontal="right" vertical="center"/>
    </xf>
    <xf numFmtId="0" fontId="0" fillId="0" borderId="7" xfId="0" applyBorder="1"/>
    <xf numFmtId="0" fontId="0" fillId="0" borderId="9" xfId="0" applyBorder="1"/>
    <xf numFmtId="49" fontId="3" fillId="0" borderId="0" xfId="0" applyNumberFormat="1" applyFont="1" applyFill="1" applyAlignment="1">
      <alignment horizontal="center"/>
    </xf>
    <xf numFmtId="49" fontId="3" fillId="0" borderId="0" xfId="0" applyNumberFormat="1" applyFont="1" applyAlignment="1">
      <alignment horizontal="center"/>
    </xf>
    <xf numFmtId="49" fontId="0" fillId="0" borderId="1" xfId="2" applyNumberFormat="1" applyFont="1" applyBorder="1" applyAlignment="1">
      <alignment horizontal="center"/>
    </xf>
    <xf numFmtId="49" fontId="0" fillId="0" borderId="28" xfId="2" applyNumberFormat="1" applyFont="1" applyBorder="1" applyAlignment="1">
      <alignment horizontal="center"/>
    </xf>
    <xf numFmtId="0" fontId="3" fillId="0" borderId="0" xfId="0" applyFont="1" applyFill="1" applyAlignment="1">
      <alignment horizontal="center"/>
    </xf>
    <xf numFmtId="164" fontId="0" fillId="0" borderId="1" xfId="2" applyFont="1" applyBorder="1" applyAlignment="1">
      <alignment horizontal="center"/>
    </xf>
    <xf numFmtId="0" fontId="3" fillId="0" borderId="0" xfId="0" applyFont="1" applyAlignment="1">
      <alignment horizontal="center"/>
    </xf>
    <xf numFmtId="4" fontId="3" fillId="0" borderId="0" xfId="0" applyNumberFormat="1" applyFont="1" applyFill="1" applyAlignment="1">
      <alignment horizontal="center"/>
    </xf>
    <xf numFmtId="0" fontId="0" fillId="0" borderId="6" xfId="0" applyBorder="1" applyAlignment="1">
      <alignment vertical="justify"/>
    </xf>
    <xf numFmtId="0" fontId="0" fillId="0" borderId="1" xfId="0" applyBorder="1" applyAlignment="1">
      <alignment vertical="justify"/>
    </xf>
    <xf numFmtId="164" fontId="3" fillId="0" borderId="0" xfId="0" applyNumberFormat="1" applyFont="1" applyFill="1"/>
    <xf numFmtId="0" fontId="26" fillId="0" borderId="19" xfId="0" applyFont="1" applyBorder="1" applyAlignment="1">
      <alignment horizontal="center" vertical="top" wrapText="1"/>
    </xf>
    <xf numFmtId="164" fontId="14" fillId="0" borderId="1" xfId="0" applyNumberFormat="1" applyFont="1" applyBorder="1"/>
    <xf numFmtId="0" fontId="14" fillId="0" borderId="7" xfId="0" applyFont="1" applyBorder="1" applyAlignment="1">
      <alignment horizontal="center"/>
    </xf>
    <xf numFmtId="164" fontId="15" fillId="0" borderId="2" xfId="2" applyFont="1" applyBorder="1" applyAlignment="1">
      <alignment horizontal="center"/>
    </xf>
    <xf numFmtId="0" fontId="14" fillId="0" borderId="0" xfId="0" applyFont="1" applyFill="1"/>
    <xf numFmtId="164" fontId="14" fillId="0" borderId="0" xfId="2" applyFont="1" applyFill="1"/>
    <xf numFmtId="0" fontId="14" fillId="0" borderId="0" xfId="0" applyFont="1" applyFill="1" applyBorder="1"/>
    <xf numFmtId="164" fontId="14" fillId="0" borderId="13" xfId="2" applyFont="1" applyFill="1" applyBorder="1"/>
    <xf numFmtId="0" fontId="14" fillId="0" borderId="0" xfId="0" applyFont="1" applyFill="1" applyAlignment="1">
      <alignment horizontal="center"/>
    </xf>
    <xf numFmtId="164" fontId="3" fillId="0" borderId="0" xfId="0" applyNumberFormat="1" applyFont="1"/>
    <xf numFmtId="0" fontId="29" fillId="0" borderId="0" xfId="0" applyFont="1" applyFill="1" applyAlignment="1">
      <alignment horizontal="center"/>
    </xf>
    <xf numFmtId="0" fontId="30" fillId="0" borderId="0" xfId="0" applyFont="1" applyFill="1"/>
    <xf numFmtId="0" fontId="31" fillId="0" borderId="0" xfId="0" applyFont="1" applyFill="1" applyAlignment="1">
      <alignment horizontal="center"/>
    </xf>
    <xf numFmtId="0" fontId="31" fillId="0" borderId="0" xfId="0" applyFont="1" applyFill="1"/>
    <xf numFmtId="0" fontId="29" fillId="0" borderId="0" xfId="0" applyFont="1" applyFill="1" applyAlignment="1">
      <alignment horizontal="left"/>
    </xf>
    <xf numFmtId="0" fontId="30" fillId="0" borderId="0" xfId="0" applyFont="1" applyFill="1" applyAlignment="1">
      <alignment horizontal="left"/>
    </xf>
    <xf numFmtId="164" fontId="3" fillId="0" borderId="1" xfId="2" applyFont="1" applyBorder="1"/>
    <xf numFmtId="164" fontId="5" fillId="0" borderId="18" xfId="2" applyFont="1" applyBorder="1" applyAlignment="1">
      <alignment horizontal="right"/>
    </xf>
    <xf numFmtId="0" fontId="8" fillId="0" borderId="27" xfId="0" applyFont="1" applyBorder="1" applyAlignment="1">
      <alignment horizontal="right"/>
    </xf>
    <xf numFmtId="164" fontId="5" fillId="0" borderId="20" xfId="2" applyFont="1" applyBorder="1" applyAlignment="1">
      <alignment horizontal="right"/>
    </xf>
    <xf numFmtId="164" fontId="5" fillId="0" borderId="21" xfId="2" applyFont="1" applyBorder="1" applyAlignment="1">
      <alignment horizontal="right"/>
    </xf>
    <xf numFmtId="164" fontId="5" fillId="0" borderId="27" xfId="2" applyFont="1" applyBorder="1" applyAlignment="1">
      <alignment horizontal="right"/>
    </xf>
    <xf numFmtId="164" fontId="15" fillId="0" borderId="13" xfId="0" applyNumberFormat="1" applyFont="1" applyBorder="1" applyAlignment="1">
      <alignment horizontal="center" vertical="justify"/>
    </xf>
    <xf numFmtId="0" fontId="4" fillId="0" borderId="13" xfId="1" applyFont="1" applyBorder="1" applyAlignment="1" applyProtection="1">
      <alignment horizontal="justify" vertical="justify"/>
    </xf>
    <xf numFmtId="164" fontId="16" fillId="0" borderId="6" xfId="0" applyNumberFormat="1" applyFont="1" applyBorder="1" applyAlignment="1">
      <alignment horizontal="center"/>
    </xf>
    <xf numFmtId="0" fontId="4" fillId="0" borderId="3" xfId="1" applyFont="1" applyBorder="1" applyAlignment="1" applyProtection="1">
      <alignment horizontal="justify"/>
    </xf>
    <xf numFmtId="164" fontId="4" fillId="0" borderId="13" xfId="1" applyNumberFormat="1" applyFont="1" applyBorder="1" applyAlignment="1" applyProtection="1">
      <alignment horizontal="justify"/>
    </xf>
    <xf numFmtId="164" fontId="5" fillId="0" borderId="18" xfId="0" applyNumberFormat="1" applyFont="1" applyBorder="1" applyAlignment="1">
      <alignment horizontal="right"/>
    </xf>
    <xf numFmtId="0" fontId="4" fillId="0" borderId="13" xfId="0" applyFont="1" applyFill="1" applyBorder="1" applyAlignment="1">
      <alignment horizontal="center"/>
    </xf>
    <xf numFmtId="164" fontId="0" fillId="0" borderId="0" xfId="2" applyFont="1" applyFill="1" applyBorder="1"/>
    <xf numFmtId="0" fontId="0" fillId="0" borderId="0" xfId="0" applyAlignment="1">
      <alignment horizontal="center"/>
    </xf>
    <xf numFmtId="4" fontId="5" fillId="0" borderId="0" xfId="0" applyNumberFormat="1" applyFont="1" applyBorder="1" applyAlignment="1">
      <alignment horizontal="right"/>
    </xf>
    <xf numFmtId="4" fontId="5" fillId="0" borderId="22" xfId="0" applyNumberFormat="1" applyFont="1" applyBorder="1" applyAlignment="1">
      <alignment horizontal="right"/>
    </xf>
    <xf numFmtId="0" fontId="7" fillId="0" borderId="19" xfId="0" applyFont="1" applyBorder="1" applyAlignment="1">
      <alignment horizontal="center" vertical="top" wrapText="1"/>
    </xf>
    <xf numFmtId="0" fontId="17" fillId="0" borderId="12" xfId="0" applyFont="1" applyBorder="1" applyAlignment="1">
      <alignment horizontal="center" vertical="top" wrapText="1"/>
    </xf>
    <xf numFmtId="0" fontId="17" fillId="0" borderId="19" xfId="0" applyFont="1" applyBorder="1" applyAlignment="1">
      <alignment horizontal="center" vertical="top" wrapText="1"/>
    </xf>
    <xf numFmtId="0" fontId="4" fillId="0" borderId="19" xfId="0" applyFont="1" applyBorder="1" applyAlignment="1">
      <alignment horizontal="center" vertical="top" wrapText="1"/>
    </xf>
    <xf numFmtId="0" fontId="8" fillId="0" borderId="19" xfId="0" applyFont="1" applyBorder="1" applyAlignment="1">
      <alignment horizontal="center" vertical="top" wrapText="1"/>
    </xf>
    <xf numFmtId="0" fontId="1" fillId="0" borderId="0" xfId="0" applyFont="1" applyAlignment="1">
      <alignment horizontal="center"/>
    </xf>
    <xf numFmtId="0" fontId="17" fillId="0" borderId="23" xfId="0" applyFont="1" applyBorder="1" applyAlignment="1">
      <alignment horizontal="center" wrapText="1"/>
    </xf>
    <xf numFmtId="0" fontId="17" fillId="0" borderId="27" xfId="0" applyFont="1" applyBorder="1" applyAlignment="1">
      <alignment horizontal="center" wrapText="1"/>
    </xf>
    <xf numFmtId="0" fontId="17" fillId="0" borderId="27" xfId="0" applyFont="1" applyBorder="1" applyAlignment="1">
      <alignment horizontal="center" vertical="justify" wrapText="1"/>
    </xf>
    <xf numFmtId="0" fontId="17" fillId="0" borderId="23" xfId="0" applyFont="1" applyBorder="1" applyAlignment="1">
      <alignment horizontal="center" vertical="justify" wrapText="1"/>
    </xf>
    <xf numFmtId="164" fontId="32" fillId="0" borderId="0" xfId="0" applyNumberFormat="1" applyFont="1" applyFill="1"/>
    <xf numFmtId="4" fontId="8" fillId="0" borderId="31" xfId="0" applyNumberFormat="1" applyFont="1" applyBorder="1" applyAlignment="1">
      <alignment horizontal="right"/>
    </xf>
    <xf numFmtId="164" fontId="16" fillId="0" borderId="6" xfId="2" applyFont="1" applyBorder="1" applyAlignment="1">
      <alignment horizontal="center"/>
    </xf>
    <xf numFmtId="164" fontId="16" fillId="0" borderId="4" xfId="0" applyNumberFormat="1" applyFont="1" applyBorder="1" applyAlignment="1">
      <alignment horizontal="center"/>
    </xf>
    <xf numFmtId="0" fontId="7" fillId="0" borderId="8" xfId="0" applyFont="1" applyBorder="1"/>
    <xf numFmtId="164" fontId="16" fillId="0" borderId="8" xfId="0" applyNumberFormat="1" applyFont="1" applyBorder="1" applyAlignment="1">
      <alignment horizontal="center"/>
    </xf>
    <xf numFmtId="0" fontId="10" fillId="0" borderId="8" xfId="0" applyFont="1" applyBorder="1" applyAlignment="1">
      <alignment horizontal="justify"/>
    </xf>
    <xf numFmtId="164" fontId="16" fillId="0" borderId="8" xfId="2" applyFont="1" applyBorder="1" applyAlignment="1">
      <alignment horizontal="center"/>
    </xf>
    <xf numFmtId="0" fontId="7" fillId="0" borderId="8" xfId="1" applyFont="1" applyBorder="1" applyAlignment="1" applyProtection="1">
      <alignment horizontal="justify"/>
    </xf>
    <xf numFmtId="0" fontId="10" fillId="0" borderId="4" xfId="0" applyFont="1" applyBorder="1" applyAlignment="1">
      <alignment horizontal="justify"/>
    </xf>
    <xf numFmtId="0" fontId="7" fillId="0" borderId="4" xfId="0" applyFont="1" applyBorder="1"/>
    <xf numFmtId="0" fontId="8" fillId="0" borderId="8" xfId="0" applyFont="1" applyBorder="1" applyAlignment="1">
      <alignment horizontal="justify"/>
    </xf>
    <xf numFmtId="164" fontId="15" fillId="0" borderId="13" xfId="2" applyFont="1" applyBorder="1" applyAlignment="1">
      <alignment horizontal="center" vertical="justify"/>
    </xf>
    <xf numFmtId="164" fontId="14" fillId="0" borderId="13" xfId="2" applyFont="1" applyBorder="1" applyAlignment="1">
      <alignment horizontal="center"/>
    </xf>
    <xf numFmtId="164" fontId="16" fillId="0" borderId="3" xfId="0" applyNumberFormat="1" applyFont="1" applyBorder="1" applyAlignment="1">
      <alignment horizontal="center"/>
    </xf>
    <xf numFmtId="164" fontId="16" fillId="0" borderId="5" xfId="1" applyNumberFormat="1" applyFont="1" applyBorder="1" applyAlignment="1" applyProtection="1">
      <alignment horizontal="justify"/>
    </xf>
    <xf numFmtId="164" fontId="16" fillId="0" borderId="5" xfId="0" applyNumberFormat="1" applyFont="1" applyBorder="1" applyAlignment="1">
      <alignment horizontal="center"/>
    </xf>
    <xf numFmtId="164" fontId="16" fillId="0" borderId="9" xfId="0" applyNumberFormat="1" applyFont="1" applyBorder="1" applyAlignment="1">
      <alignment horizontal="center"/>
    </xf>
    <xf numFmtId="0" fontId="0" fillId="0" borderId="2" xfId="0" applyBorder="1" applyAlignment="1">
      <alignment horizontal="left" vertical="justify"/>
    </xf>
    <xf numFmtId="164" fontId="5" fillId="0" borderId="19" xfId="2" applyFont="1" applyBorder="1" applyAlignment="1">
      <alignment horizontal="right"/>
    </xf>
    <xf numFmtId="4" fontId="5" fillId="0" borderId="27" xfId="0" applyNumberFormat="1" applyFont="1" applyBorder="1" applyAlignment="1">
      <alignment horizontal="right"/>
    </xf>
    <xf numFmtId="4" fontId="5" fillId="0" borderId="20" xfId="0" applyNumberFormat="1" applyFont="1" applyBorder="1" applyAlignment="1">
      <alignment horizontal="right"/>
    </xf>
    <xf numFmtId="4" fontId="5" fillId="0" borderId="21" xfId="0" applyNumberFormat="1" applyFont="1" applyBorder="1" applyAlignment="1">
      <alignment horizontal="right"/>
    </xf>
    <xf numFmtId="164" fontId="3" fillId="0" borderId="5" xfId="2" applyFont="1" applyBorder="1"/>
    <xf numFmtId="164" fontId="3" fillId="0" borderId="6" xfId="2" applyFont="1" applyBorder="1" applyAlignment="1">
      <alignment horizontal="center"/>
    </xf>
    <xf numFmtId="49" fontId="3" fillId="0" borderId="32" xfId="2" applyNumberFormat="1" applyFont="1" applyBorder="1" applyAlignment="1">
      <alignment horizontal="center"/>
    </xf>
    <xf numFmtId="49" fontId="3" fillId="0" borderId="6" xfId="2" applyNumberFormat="1" applyFont="1" applyBorder="1" applyAlignment="1">
      <alignment horizontal="center"/>
    </xf>
    <xf numFmtId="164" fontId="3" fillId="0" borderId="7" xfId="2" applyFont="1" applyBorder="1"/>
    <xf numFmtId="164" fontId="3" fillId="0" borderId="7" xfId="2" applyFont="1" applyBorder="1" applyAlignment="1">
      <alignment horizontal="center"/>
    </xf>
    <xf numFmtId="49" fontId="3" fillId="0" borderId="1" xfId="2" applyNumberFormat="1" applyFont="1" applyBorder="1" applyAlignment="1">
      <alignment horizontal="center"/>
    </xf>
    <xf numFmtId="164" fontId="3" fillId="0" borderId="1" xfId="2" applyFont="1" applyBorder="1" applyAlignment="1">
      <alignment horizontal="center"/>
    </xf>
    <xf numFmtId="49" fontId="3" fillId="0" borderId="7" xfId="2" applyNumberFormat="1" applyFont="1" applyBorder="1" applyAlignment="1">
      <alignment horizontal="center"/>
    </xf>
    <xf numFmtId="49" fontId="3" fillId="0" borderId="0" xfId="2" applyNumberFormat="1" applyFont="1" applyBorder="1" applyAlignment="1">
      <alignment horizontal="center"/>
    </xf>
    <xf numFmtId="49" fontId="3" fillId="0" borderId="8" xfId="2" applyNumberFormat="1" applyFont="1" applyBorder="1" applyAlignment="1">
      <alignment horizontal="center"/>
    </xf>
    <xf numFmtId="49" fontId="3" fillId="0" borderId="2" xfId="2" applyNumberFormat="1" applyFont="1" applyBorder="1" applyAlignment="1">
      <alignment horizontal="center"/>
    </xf>
    <xf numFmtId="0" fontId="0" fillId="0" borderId="5" xfId="0" applyBorder="1" applyAlignment="1">
      <alignment vertical="justify"/>
    </xf>
    <xf numFmtId="0" fontId="0" fillId="0" borderId="7" xfId="0" applyBorder="1" applyAlignment="1">
      <alignment vertical="justify"/>
    </xf>
    <xf numFmtId="0" fontId="0" fillId="0" borderId="9" xfId="0" applyBorder="1" applyAlignment="1">
      <alignment vertical="justify"/>
    </xf>
    <xf numFmtId="0" fontId="2" fillId="2" borderId="0" xfId="1" applyFill="1" applyAlignment="1" applyProtection="1"/>
    <xf numFmtId="0" fontId="5" fillId="0" borderId="13" xfId="0" applyFont="1" applyFill="1" applyBorder="1" applyAlignment="1">
      <alignment horizontal="center"/>
    </xf>
    <xf numFmtId="0" fontId="0" fillId="0" borderId="6" xfId="0" applyFill="1" applyBorder="1"/>
    <xf numFmtId="0" fontId="0" fillId="0" borderId="7" xfId="0" applyFill="1" applyBorder="1"/>
    <xf numFmtId="0" fontId="0" fillId="0" borderId="2" xfId="0" applyFill="1" applyBorder="1"/>
    <xf numFmtId="0" fontId="4" fillId="0" borderId="33" xfId="0" applyFont="1" applyFill="1" applyBorder="1"/>
    <xf numFmtId="0" fontId="4" fillId="0" borderId="1" xfId="0" applyFont="1" applyFill="1" applyBorder="1"/>
    <xf numFmtId="0" fontId="4" fillId="0" borderId="1" xfId="0" applyFont="1" applyFill="1" applyBorder="1" applyAlignment="1">
      <alignment horizontal="left"/>
    </xf>
    <xf numFmtId="0" fontId="4" fillId="0" borderId="1" xfId="0" applyFont="1" applyBorder="1"/>
    <xf numFmtId="164" fontId="4" fillId="0" borderId="1" xfId="2" applyFont="1" applyFill="1" applyBorder="1"/>
    <xf numFmtId="164" fontId="4" fillId="0" borderId="28" xfId="2" applyFont="1" applyFill="1" applyBorder="1"/>
    <xf numFmtId="0" fontId="7" fillId="0" borderId="1" xfId="0" applyFont="1" applyFill="1" applyBorder="1"/>
    <xf numFmtId="164" fontId="4" fillId="0" borderId="0" xfId="2" applyFont="1" applyFill="1" applyBorder="1"/>
    <xf numFmtId="0" fontId="7" fillId="0" borderId="32" xfId="1" applyFont="1" applyBorder="1" applyAlignment="1" applyProtection="1">
      <alignment horizontal="justify"/>
    </xf>
    <xf numFmtId="0" fontId="10" fillId="0" borderId="2" xfId="0" applyFont="1" applyBorder="1" applyAlignment="1">
      <alignment horizontal="justify"/>
    </xf>
    <xf numFmtId="164" fontId="0" fillId="0" borderId="0" xfId="2" applyFont="1" applyAlignment="1">
      <alignment horizontal="center"/>
    </xf>
    <xf numFmtId="164" fontId="3" fillId="2" borderId="0" xfId="2" applyFont="1" applyFill="1" applyAlignment="1">
      <alignment horizontal="left"/>
    </xf>
    <xf numFmtId="164" fontId="3" fillId="2" borderId="0" xfId="0" applyNumberFormat="1" applyFont="1" applyFill="1" applyAlignment="1">
      <alignment horizontal="left"/>
    </xf>
    <xf numFmtId="164" fontId="3" fillId="0" borderId="0" xfId="0" applyNumberFormat="1" applyFont="1" applyFill="1" applyAlignment="1">
      <alignment horizontal="left"/>
    </xf>
    <xf numFmtId="164" fontId="3" fillId="0" borderId="0" xfId="2" applyFont="1" applyFill="1" applyAlignment="1">
      <alignment horizontal="left"/>
    </xf>
    <xf numFmtId="0" fontId="3" fillId="2" borderId="0" xfId="0" applyFont="1" applyFill="1" applyAlignment="1">
      <alignment horizontal="left"/>
    </xf>
    <xf numFmtId="0" fontId="3" fillId="3" borderId="0" xfId="0" applyFont="1" applyFill="1" applyAlignment="1">
      <alignment horizontal="left"/>
    </xf>
    <xf numFmtId="164" fontId="3" fillId="3" borderId="0" xfId="2" applyFont="1" applyFill="1"/>
    <xf numFmtId="164" fontId="3" fillId="3" borderId="0" xfId="0" applyNumberFormat="1" applyFont="1" applyFill="1"/>
    <xf numFmtId="164" fontId="14" fillId="0" borderId="0" xfId="2" applyFont="1" applyFill="1" applyBorder="1"/>
    <xf numFmtId="49" fontId="5" fillId="0" borderId="3" xfId="2" applyNumberFormat="1" applyFont="1" applyFill="1" applyBorder="1" applyAlignment="1">
      <alignment horizontal="center"/>
    </xf>
    <xf numFmtId="164" fontId="0" fillId="0" borderId="5" xfId="2" applyFont="1" applyFill="1" applyBorder="1"/>
    <xf numFmtId="164" fontId="4" fillId="0" borderId="7" xfId="2" applyFont="1" applyFill="1" applyBorder="1"/>
    <xf numFmtId="164" fontId="0" fillId="0" borderId="7" xfId="2" applyFont="1" applyFill="1" applyBorder="1"/>
    <xf numFmtId="164" fontId="7" fillId="0" borderId="7" xfId="2" applyFont="1" applyFill="1" applyBorder="1"/>
    <xf numFmtId="0" fontId="4" fillId="0" borderId="0" xfId="0" applyFont="1" applyFill="1" applyBorder="1"/>
    <xf numFmtId="4" fontId="7" fillId="0" borderId="23" xfId="0" applyNumberFormat="1" applyFont="1" applyBorder="1" applyAlignment="1">
      <alignment vertical="top"/>
    </xf>
    <xf numFmtId="164" fontId="36" fillId="0" borderId="1" xfId="2" applyFont="1" applyFill="1" applyBorder="1"/>
    <xf numFmtId="164" fontId="36" fillId="0" borderId="0" xfId="2" applyFont="1" applyFill="1"/>
    <xf numFmtId="0" fontId="7" fillId="0" borderId="7" xfId="0" applyFont="1" applyFill="1" applyBorder="1"/>
    <xf numFmtId="164" fontId="7" fillId="0" borderId="0" xfId="2" applyFont="1" applyFill="1" applyBorder="1"/>
    <xf numFmtId="0" fontId="3" fillId="4" borderId="0" xfId="0" applyFont="1" applyFill="1" applyAlignment="1">
      <alignment horizontal="left"/>
    </xf>
    <xf numFmtId="164" fontId="3" fillId="4" borderId="0" xfId="2" applyFont="1" applyFill="1"/>
    <xf numFmtId="164" fontId="3" fillId="4" borderId="0" xfId="0" applyNumberFormat="1" applyFont="1" applyFill="1"/>
    <xf numFmtId="164" fontId="37" fillId="0" borderId="13" xfId="0" applyNumberFormat="1" applyFont="1" applyBorder="1" applyAlignment="1">
      <alignment horizontal="center"/>
    </xf>
    <xf numFmtId="0" fontId="38" fillId="0" borderId="2" xfId="1" applyFont="1" applyBorder="1" applyAlignment="1" applyProtection="1">
      <alignment horizontal="justify"/>
    </xf>
    <xf numFmtId="0" fontId="15" fillId="0" borderId="3" xfId="0" applyFont="1" applyFill="1" applyBorder="1" applyAlignment="1">
      <alignment horizontal="center"/>
    </xf>
    <xf numFmtId="0" fontId="15" fillId="0" borderId="29" xfId="0" applyFont="1" applyBorder="1" applyAlignment="1">
      <alignment horizontal="center" vertical="justify"/>
    </xf>
    <xf numFmtId="0" fontId="15" fillId="0" borderId="13" xfId="0" applyFont="1" applyFill="1" applyBorder="1" applyAlignment="1">
      <alignment horizontal="center" vertical="justify"/>
    </xf>
    <xf numFmtId="164" fontId="15" fillId="0" borderId="13" xfId="2" applyFont="1" applyBorder="1" applyAlignment="1">
      <alignment horizontal="center"/>
    </xf>
    <xf numFmtId="0" fontId="15" fillId="0" borderId="1" xfId="0" applyFont="1" applyBorder="1" applyAlignment="1">
      <alignment horizontal="center" vertical="justify"/>
    </xf>
    <xf numFmtId="0" fontId="7" fillId="0" borderId="29" xfId="0" applyFont="1" applyFill="1" applyBorder="1" applyAlignment="1" applyProtection="1">
      <alignment horizontal="justify" vertical="top"/>
      <protection locked="0"/>
    </xf>
    <xf numFmtId="0" fontId="14" fillId="0" borderId="1" xfId="0" applyFont="1" applyFill="1" applyBorder="1" applyAlignment="1">
      <alignment horizontal="center" vertical="justify"/>
    </xf>
    <xf numFmtId="164" fontId="14" fillId="0" borderId="13" xfId="0" applyNumberFormat="1" applyFont="1" applyFill="1" applyBorder="1"/>
    <xf numFmtId="164" fontId="36" fillId="0" borderId="0" xfId="0" applyNumberFormat="1" applyFont="1"/>
    <xf numFmtId="0" fontId="0" fillId="0" borderId="1" xfId="0" applyBorder="1" applyAlignment="1">
      <alignment horizontal="center" vertical="justify"/>
    </xf>
    <xf numFmtId="164" fontId="32" fillId="0" borderId="13" xfId="0" applyNumberFormat="1" applyFont="1" applyBorder="1" applyAlignment="1">
      <alignment horizontal="center"/>
    </xf>
    <xf numFmtId="49" fontId="3" fillId="0" borderId="0" xfId="2" applyNumberFormat="1" applyFont="1" applyFill="1" applyAlignment="1">
      <alignment horizontal="center"/>
    </xf>
    <xf numFmtId="4" fontId="14" fillId="0" borderId="0" xfId="0" applyNumberFormat="1" applyFont="1"/>
    <xf numFmtId="164" fontId="0" fillId="0" borderId="9" xfId="2" applyFont="1" applyBorder="1" applyAlignment="1">
      <alignment horizontal="center"/>
    </xf>
    <xf numFmtId="49" fontId="3" fillId="0" borderId="9" xfId="2" applyNumberFormat="1" applyFont="1" applyBorder="1" applyAlignment="1">
      <alignment horizontal="center"/>
    </xf>
    <xf numFmtId="164" fontId="3" fillId="0" borderId="0" xfId="2" applyFont="1" applyFill="1" applyBorder="1"/>
    <xf numFmtId="0" fontId="4" fillId="0" borderId="13" xfId="0" applyFont="1" applyBorder="1"/>
    <xf numFmtId="0" fontId="4" fillId="0" borderId="13" xfId="0" applyFont="1" applyBorder="1" applyAlignment="1">
      <alignment vertical="justify"/>
    </xf>
    <xf numFmtId="164" fontId="16" fillId="0" borderId="13" xfId="2" applyFont="1" applyBorder="1"/>
    <xf numFmtId="4" fontId="16" fillId="0" borderId="13" xfId="0" applyNumberFormat="1" applyFont="1" applyFill="1" applyBorder="1" applyAlignment="1">
      <alignment horizontal="center"/>
    </xf>
    <xf numFmtId="49" fontId="16" fillId="0" borderId="13" xfId="0" applyNumberFormat="1" applyFont="1" applyFill="1" applyBorder="1" applyAlignment="1">
      <alignment horizontal="center"/>
    </xf>
    <xf numFmtId="49" fontId="3" fillId="0" borderId="4" xfId="0" applyNumberFormat="1" applyFont="1" applyFill="1" applyBorder="1" applyAlignment="1">
      <alignment horizontal="center"/>
    </xf>
    <xf numFmtId="49" fontId="3" fillId="0" borderId="7" xfId="0" applyNumberFormat="1" applyFont="1" applyFill="1" applyBorder="1" applyAlignment="1">
      <alignment horizontal="center"/>
    </xf>
    <xf numFmtId="49" fontId="3" fillId="0" borderId="1" xfId="0" applyNumberFormat="1" applyFont="1" applyFill="1" applyBorder="1" applyAlignment="1">
      <alignment horizontal="center"/>
    </xf>
    <xf numFmtId="0" fontId="3" fillId="0" borderId="0" xfId="0" applyFont="1" applyFill="1" applyBorder="1" applyAlignment="1">
      <alignment vertical="justify"/>
    </xf>
    <xf numFmtId="14" fontId="4" fillId="0" borderId="0" xfId="0" applyNumberFormat="1" applyFont="1" applyAlignment="1">
      <alignment horizontal="left"/>
    </xf>
    <xf numFmtId="0" fontId="39" fillId="0" borderId="13" xfId="0" applyFont="1" applyFill="1" applyBorder="1" applyAlignment="1">
      <alignment horizontal="center" textRotation="255"/>
    </xf>
    <xf numFmtId="0" fontId="39" fillId="0" borderId="0" xfId="0" applyFont="1" applyFill="1" applyAlignment="1">
      <alignment horizontal="center"/>
    </xf>
    <xf numFmtId="0" fontId="40" fillId="0" borderId="0" xfId="0" applyFont="1" applyFill="1"/>
    <xf numFmtId="0" fontId="39" fillId="0" borderId="0" xfId="0" applyFont="1" applyFill="1"/>
    <xf numFmtId="0" fontId="39" fillId="0" borderId="0" xfId="0" applyFont="1" applyFill="1" applyAlignment="1">
      <alignment horizontal="left"/>
    </xf>
    <xf numFmtId="0" fontId="39" fillId="0" borderId="13" xfId="0" applyFont="1" applyFill="1" applyBorder="1" applyAlignment="1">
      <alignment horizontal="center"/>
    </xf>
    <xf numFmtId="0" fontId="40" fillId="0" borderId="0" xfId="0" applyFont="1" applyFill="1" applyBorder="1"/>
    <xf numFmtId="0" fontId="39" fillId="0" borderId="6" xfId="0" applyFont="1" applyFill="1" applyBorder="1" applyAlignment="1">
      <alignment horizontal="center" vertical="justify"/>
    </xf>
    <xf numFmtId="0" fontId="39" fillId="0" borderId="6" xfId="0" applyFont="1" applyBorder="1" applyAlignment="1">
      <alignment horizontal="center" vertical="justify"/>
    </xf>
    <xf numFmtId="164" fontId="39" fillId="0" borderId="2" xfId="2" applyFont="1" applyBorder="1" applyAlignment="1">
      <alignment horizontal="center"/>
    </xf>
    <xf numFmtId="164" fontId="39" fillId="0" borderId="13" xfId="2" applyFont="1" applyBorder="1" applyAlignment="1">
      <alignment horizontal="center"/>
    </xf>
    <xf numFmtId="0" fontId="39" fillId="0" borderId="13" xfId="0" applyFont="1" applyFill="1" applyBorder="1" applyAlignment="1">
      <alignment horizontal="center" vertical="justify"/>
    </xf>
    <xf numFmtId="0" fontId="39" fillId="0" borderId="13" xfId="0" applyFont="1" applyFill="1" applyBorder="1" applyAlignment="1">
      <alignment vertical="justify"/>
    </xf>
    <xf numFmtId="164" fontId="39" fillId="0" borderId="13" xfId="0" applyNumberFormat="1" applyFont="1" applyBorder="1" applyAlignment="1">
      <alignment horizontal="center" vertical="justify"/>
    </xf>
    <xf numFmtId="164" fontId="39" fillId="0" borderId="13" xfId="0" applyNumberFormat="1" applyFont="1" applyBorder="1" applyAlignment="1">
      <alignment horizontal="center"/>
    </xf>
    <xf numFmtId="0" fontId="40" fillId="0" borderId="13" xfId="0" applyFont="1" applyFill="1" applyBorder="1"/>
    <xf numFmtId="0" fontId="39" fillId="0" borderId="13" xfId="1" applyFont="1" applyBorder="1" applyAlignment="1" applyProtection="1">
      <alignment horizontal="justify"/>
    </xf>
    <xf numFmtId="164" fontId="39" fillId="0" borderId="2" xfId="0" applyNumberFormat="1" applyFont="1" applyBorder="1" applyAlignment="1">
      <alignment horizontal="center"/>
    </xf>
    <xf numFmtId="164" fontId="39" fillId="0" borderId="13" xfId="2" applyFont="1" applyBorder="1" applyAlignment="1">
      <alignment horizontal="center" vertical="justify"/>
    </xf>
    <xf numFmtId="164" fontId="40" fillId="0" borderId="0" xfId="2" applyFont="1" applyFill="1"/>
    <xf numFmtId="49" fontId="39" fillId="0" borderId="13" xfId="0" applyNumberFormat="1" applyFont="1" applyFill="1" applyBorder="1" applyAlignment="1">
      <alignment horizontal="center"/>
    </xf>
    <xf numFmtId="0" fontId="39" fillId="0" borderId="13" xfId="1" applyFont="1" applyBorder="1" applyAlignment="1" applyProtection="1">
      <alignment horizontal="center"/>
    </xf>
    <xf numFmtId="0" fontId="41" fillId="0" borderId="13" xfId="0" applyFont="1" applyFill="1" applyBorder="1" applyAlignment="1" applyProtection="1">
      <alignment horizontal="justify" vertical="top"/>
      <protection locked="0"/>
    </xf>
    <xf numFmtId="0" fontId="42" fillId="0" borderId="2" xfId="0" applyFont="1" applyFill="1" applyBorder="1" applyAlignment="1" applyProtection="1">
      <alignment horizontal="justify" vertical="top"/>
      <protection locked="0"/>
    </xf>
    <xf numFmtId="164" fontId="40" fillId="0" borderId="13" xfId="2" applyFont="1" applyFill="1" applyBorder="1" applyAlignment="1" applyProtection="1">
      <alignment wrapText="1"/>
    </xf>
    <xf numFmtId="164" fontId="40" fillId="0" borderId="13" xfId="2" applyFont="1" applyBorder="1" applyAlignment="1">
      <alignment horizontal="center"/>
    </xf>
    <xf numFmtId="164" fontId="40" fillId="0" borderId="13" xfId="2" applyFont="1" applyFill="1" applyBorder="1"/>
    <xf numFmtId="0" fontId="42" fillId="0" borderId="1" xfId="0" applyFont="1" applyFill="1" applyBorder="1" applyAlignment="1" applyProtection="1">
      <alignment horizontal="justify" vertical="top"/>
      <protection locked="0"/>
    </xf>
    <xf numFmtId="164" fontId="40" fillId="0" borderId="6" xfId="2" applyFont="1" applyFill="1" applyBorder="1" applyAlignment="1" applyProtection="1">
      <alignment wrapText="1"/>
    </xf>
    <xf numFmtId="164" fontId="40" fillId="0" borderId="6" xfId="2" applyFont="1" applyBorder="1" applyAlignment="1">
      <alignment horizontal="center"/>
    </xf>
    <xf numFmtId="164" fontId="40" fillId="0" borderId="0" xfId="0" applyNumberFormat="1" applyFont="1" applyFill="1"/>
    <xf numFmtId="0" fontId="40" fillId="0" borderId="13" xfId="0" applyFont="1" applyFill="1" applyBorder="1" applyAlignment="1">
      <alignment horizontal="center"/>
    </xf>
    <xf numFmtId="0" fontId="40" fillId="0" borderId="0" xfId="0" applyFont="1" applyFill="1" applyAlignment="1">
      <alignment horizontal="center"/>
    </xf>
    <xf numFmtId="0" fontId="41" fillId="0" borderId="0" xfId="0" applyFont="1" applyFill="1"/>
    <xf numFmtId="164" fontId="7" fillId="0" borderId="0" xfId="2" applyFont="1" applyAlignment="1">
      <alignment horizontal="centerContinuous" vertical="center"/>
    </xf>
    <xf numFmtId="0" fontId="14" fillId="0" borderId="34" xfId="0" applyFont="1" applyBorder="1" applyAlignment="1">
      <alignment horizontal="center"/>
    </xf>
    <xf numFmtId="0" fontId="43" fillId="0" borderId="13" xfId="0" applyFont="1" applyBorder="1" applyAlignment="1">
      <alignment vertical="top" wrapText="1"/>
    </xf>
    <xf numFmtId="0" fontId="43" fillId="0" borderId="13" xfId="0" applyFont="1" applyFill="1" applyBorder="1" applyAlignment="1">
      <alignment vertical="top" wrapText="1"/>
    </xf>
    <xf numFmtId="0" fontId="3" fillId="0" borderId="1" xfId="0" applyFont="1" applyFill="1" applyBorder="1" applyAlignment="1">
      <alignment vertical="justify"/>
    </xf>
    <xf numFmtId="4" fontId="3" fillId="0" borderId="8" xfId="0" applyNumberFormat="1" applyFont="1" applyFill="1" applyBorder="1" applyAlignment="1">
      <alignment horizontal="center"/>
    </xf>
    <xf numFmtId="49" fontId="3" fillId="0" borderId="2" xfId="0" applyNumberFormat="1" applyFont="1" applyFill="1" applyBorder="1" applyAlignment="1">
      <alignment horizontal="center"/>
    </xf>
    <xf numFmtId="49" fontId="3" fillId="0" borderId="8" xfId="0" applyNumberFormat="1" applyFont="1" applyFill="1" applyBorder="1" applyAlignment="1">
      <alignment horizontal="center"/>
    </xf>
    <xf numFmtId="4" fontId="3" fillId="0" borderId="0" xfId="0" applyNumberFormat="1" applyFont="1" applyFill="1" applyBorder="1" applyAlignment="1">
      <alignment horizontal="center"/>
    </xf>
    <xf numFmtId="49" fontId="3" fillId="0" borderId="0" xfId="0" applyNumberFormat="1" applyFont="1" applyFill="1" applyBorder="1" applyAlignment="1">
      <alignment horizontal="center"/>
    </xf>
    <xf numFmtId="4" fontId="3" fillId="0" borderId="4" xfId="0" applyNumberFormat="1" applyFont="1" applyFill="1" applyBorder="1" applyAlignment="1">
      <alignment horizontal="center"/>
    </xf>
    <xf numFmtId="49" fontId="3" fillId="0" borderId="6" xfId="0" applyNumberFormat="1" applyFont="1" applyFill="1" applyBorder="1" applyAlignment="1">
      <alignment horizontal="center"/>
    </xf>
    <xf numFmtId="0" fontId="3" fillId="0" borderId="2" xfId="0" applyFont="1" applyFill="1" applyBorder="1" applyAlignment="1">
      <alignment vertical="justify"/>
    </xf>
    <xf numFmtId="4" fontId="3" fillId="0" borderId="6" xfId="0" applyNumberFormat="1" applyFont="1" applyFill="1" applyBorder="1" applyAlignment="1">
      <alignment horizontal="center"/>
    </xf>
    <xf numFmtId="4" fontId="3" fillId="0" borderId="1" xfId="0" applyNumberFormat="1" applyFont="1" applyFill="1" applyBorder="1" applyAlignment="1">
      <alignment horizontal="center"/>
    </xf>
    <xf numFmtId="4" fontId="3" fillId="0" borderId="2" xfId="0" applyNumberFormat="1" applyFont="1" applyFill="1" applyBorder="1" applyAlignment="1">
      <alignment horizontal="center"/>
    </xf>
    <xf numFmtId="0" fontId="3" fillId="0" borderId="6" xfId="0" applyFont="1" applyFill="1" applyBorder="1" applyAlignment="1">
      <alignment vertical="justify"/>
    </xf>
    <xf numFmtId="4" fontId="3" fillId="0" borderId="5" xfId="0" applyNumberFormat="1" applyFont="1" applyFill="1" applyBorder="1" applyAlignment="1">
      <alignment horizontal="center"/>
    </xf>
    <xf numFmtId="4" fontId="3" fillId="0" borderId="7" xfId="0" applyNumberFormat="1" applyFont="1" applyFill="1" applyBorder="1" applyAlignment="1">
      <alignment horizontal="center"/>
    </xf>
    <xf numFmtId="49" fontId="3" fillId="0" borderId="6" xfId="2" applyNumberFormat="1" applyFont="1" applyFill="1" applyBorder="1" applyAlignment="1"/>
    <xf numFmtId="49" fontId="3" fillId="0" borderId="28" xfId="2" applyNumberFormat="1" applyFont="1" applyFill="1" applyBorder="1" applyAlignment="1"/>
    <xf numFmtId="0" fontId="3" fillId="0" borderId="28" xfId="0" applyFont="1" applyFill="1" applyBorder="1" applyAlignment="1">
      <alignment vertical="justify"/>
    </xf>
    <xf numFmtId="0" fontId="3" fillId="0" borderId="1" xfId="0" applyFont="1" applyFill="1" applyBorder="1" applyAlignment="1"/>
    <xf numFmtId="49" fontId="3" fillId="0" borderId="1" xfId="2" applyNumberFormat="1" applyFont="1" applyFill="1" applyBorder="1" applyAlignment="1"/>
    <xf numFmtId="0" fontId="3" fillId="0" borderId="0" xfId="0" applyFont="1" applyFill="1" applyBorder="1" applyAlignment="1"/>
    <xf numFmtId="164" fontId="3" fillId="0" borderId="2" xfId="2" applyFont="1" applyFill="1" applyBorder="1"/>
    <xf numFmtId="164" fontId="3" fillId="0" borderId="28" xfId="2" applyFont="1" applyFill="1" applyBorder="1"/>
    <xf numFmtId="0" fontId="3" fillId="0" borderId="1" xfId="0" applyFont="1" applyFill="1" applyBorder="1" applyAlignment="1">
      <alignment horizontal="center"/>
    </xf>
    <xf numFmtId="49" fontId="3" fillId="0" borderId="2" xfId="2" applyNumberFormat="1" applyFont="1" applyFill="1" applyBorder="1" applyAlignment="1"/>
    <xf numFmtId="0" fontId="3" fillId="0" borderId="4" xfId="0" applyFont="1" applyFill="1" applyBorder="1" applyAlignment="1">
      <alignment horizontal="center"/>
    </xf>
    <xf numFmtId="49" fontId="3" fillId="0" borderId="6" xfId="2" applyNumberFormat="1" applyFont="1" applyFill="1" applyBorder="1" applyAlignment="1">
      <alignment vertical="justify"/>
    </xf>
    <xf numFmtId="49" fontId="3" fillId="0" borderId="1" xfId="2" applyNumberFormat="1" applyFont="1" applyFill="1" applyBorder="1" applyAlignment="1">
      <alignment vertical="justify"/>
    </xf>
    <xf numFmtId="0" fontId="3" fillId="0" borderId="0" xfId="0" applyFont="1" applyFill="1" applyBorder="1" applyAlignment="1">
      <alignment horizontal="center"/>
    </xf>
    <xf numFmtId="0" fontId="3" fillId="0" borderId="2" xfId="0" applyFont="1" applyFill="1" applyBorder="1" applyAlignment="1">
      <alignment horizontal="center"/>
    </xf>
    <xf numFmtId="49" fontId="3" fillId="0" borderId="7" xfId="2" applyNumberFormat="1" applyFont="1" applyFill="1" applyBorder="1" applyAlignment="1"/>
    <xf numFmtId="164" fontId="3" fillId="0" borderId="1" xfId="2" applyFont="1" applyFill="1" applyBorder="1"/>
    <xf numFmtId="0" fontId="3" fillId="0" borderId="4" xfId="0" applyFont="1" applyFill="1" applyBorder="1" applyAlignment="1"/>
    <xf numFmtId="49" fontId="3" fillId="0" borderId="8" xfId="2" applyNumberFormat="1" applyFont="1" applyFill="1" applyBorder="1" applyAlignment="1"/>
    <xf numFmtId="4" fontId="3" fillId="0" borderId="9" xfId="0" applyNumberFormat="1" applyFont="1" applyFill="1" applyBorder="1" applyAlignment="1">
      <alignment horizontal="center"/>
    </xf>
    <xf numFmtId="0" fontId="3" fillId="0" borderId="7" xfId="0" applyFont="1" applyFill="1" applyBorder="1" applyAlignment="1">
      <alignment vertical="justify"/>
    </xf>
    <xf numFmtId="49" fontId="3" fillId="0" borderId="28" xfId="0" applyNumberFormat="1" applyFont="1" applyFill="1" applyBorder="1" applyAlignment="1">
      <alignment horizontal="center"/>
    </xf>
    <xf numFmtId="49" fontId="3" fillId="0" borderId="9" xfId="0" applyNumberFormat="1" applyFont="1" applyFill="1" applyBorder="1" applyAlignment="1">
      <alignment horizontal="center"/>
    </xf>
    <xf numFmtId="49" fontId="3" fillId="0" borderId="32" xfId="0" applyNumberFormat="1" applyFont="1" applyFill="1" applyBorder="1" applyAlignment="1">
      <alignment horizontal="center"/>
    </xf>
    <xf numFmtId="0" fontId="3" fillId="0" borderId="6" xfId="0" applyFont="1" applyFill="1" applyBorder="1" applyAlignment="1"/>
    <xf numFmtId="49" fontId="3" fillId="0" borderId="35" xfId="0" applyNumberFormat="1" applyFont="1" applyFill="1" applyBorder="1" applyAlignment="1">
      <alignment horizontal="center"/>
    </xf>
    <xf numFmtId="0" fontId="3" fillId="0" borderId="2" xfId="0" applyFont="1" applyFill="1" applyBorder="1" applyAlignment="1"/>
    <xf numFmtId="164" fontId="3" fillId="0" borderId="35" xfId="2" applyFont="1" applyFill="1" applyBorder="1"/>
    <xf numFmtId="0" fontId="3" fillId="0" borderId="8" xfId="0" applyFont="1" applyFill="1" applyBorder="1" applyAlignment="1"/>
    <xf numFmtId="0" fontId="0" fillId="0" borderId="7" xfId="0" applyBorder="1" applyAlignment="1">
      <alignment horizontal="left" vertical="justify"/>
    </xf>
    <xf numFmtId="0" fontId="3" fillId="0" borderId="13" xfId="0" applyFont="1" applyFill="1" applyBorder="1" applyAlignment="1">
      <alignment vertical="justify"/>
    </xf>
    <xf numFmtId="0" fontId="0" fillId="0" borderId="6" xfId="0" applyBorder="1"/>
    <xf numFmtId="164" fontId="0" fillId="0" borderId="6" xfId="2" applyFont="1" applyBorder="1" applyAlignment="1">
      <alignment horizontal="center"/>
    </xf>
    <xf numFmtId="49" fontId="0" fillId="0" borderId="32" xfId="2" applyNumberFormat="1" applyFont="1" applyBorder="1" applyAlignment="1">
      <alignment horizontal="center"/>
    </xf>
    <xf numFmtId="164" fontId="3" fillId="6" borderId="32" xfId="2" applyFont="1" applyFill="1" applyBorder="1"/>
    <xf numFmtId="164" fontId="16" fillId="0" borderId="0" xfId="2" applyFont="1" applyFill="1" applyAlignment="1">
      <alignment horizontal="center"/>
    </xf>
    <xf numFmtId="164" fontId="3" fillId="6" borderId="6" xfId="2" applyFont="1" applyFill="1" applyBorder="1" applyAlignment="1">
      <alignment horizontal="right"/>
    </xf>
    <xf numFmtId="164" fontId="3" fillId="6" borderId="28" xfId="2" applyFont="1" applyFill="1" applyBorder="1" applyAlignment="1">
      <alignment horizontal="right"/>
    </xf>
    <xf numFmtId="164" fontId="3" fillId="6" borderId="1" xfId="2" applyFont="1" applyFill="1" applyBorder="1" applyAlignment="1">
      <alignment horizontal="right"/>
    </xf>
    <xf numFmtId="164" fontId="3" fillId="6" borderId="2" xfId="2" applyFont="1" applyFill="1" applyBorder="1"/>
    <xf numFmtId="164" fontId="3" fillId="6" borderId="35" xfId="2" applyFont="1" applyFill="1" applyBorder="1"/>
    <xf numFmtId="164" fontId="3" fillId="6" borderId="28" xfId="2" applyFont="1" applyFill="1" applyBorder="1" applyAlignment="1">
      <alignment horizontal="center"/>
    </xf>
    <xf numFmtId="164" fontId="3" fillId="6" borderId="28" xfId="2" applyFont="1" applyFill="1" applyBorder="1"/>
    <xf numFmtId="164" fontId="3" fillId="6" borderId="1" xfId="2" applyFont="1" applyFill="1" applyBorder="1"/>
    <xf numFmtId="164" fontId="53" fillId="6" borderId="1" xfId="2" applyFont="1" applyFill="1" applyBorder="1"/>
    <xf numFmtId="164" fontId="53" fillId="6" borderId="2" xfId="2" applyFont="1" applyFill="1" applyBorder="1"/>
    <xf numFmtId="0" fontId="0" fillId="0" borderId="0" xfId="0" applyBorder="1"/>
    <xf numFmtId="0" fontId="0" fillId="0" borderId="0" xfId="0" applyBorder="1" applyAlignment="1">
      <alignment vertical="justify"/>
    </xf>
    <xf numFmtId="0" fontId="0" fillId="0" borderId="4" xfId="0" applyBorder="1"/>
    <xf numFmtId="0" fontId="0" fillId="0" borderId="4" xfId="0" applyBorder="1" applyAlignment="1">
      <alignment vertical="justify"/>
    </xf>
    <xf numFmtId="0" fontId="0" fillId="0" borderId="8" xfId="0" applyBorder="1"/>
    <xf numFmtId="0" fontId="0" fillId="0" borderId="8" xfId="0" applyBorder="1" applyAlignment="1">
      <alignment vertical="justify"/>
    </xf>
    <xf numFmtId="0" fontId="0" fillId="0" borderId="3" xfId="0" applyBorder="1" applyAlignment="1">
      <alignment vertical="justify"/>
    </xf>
    <xf numFmtId="4" fontId="3" fillId="0" borderId="33" xfId="0" applyNumberFormat="1" applyFont="1" applyFill="1" applyBorder="1" applyAlignment="1">
      <alignment horizontal="center"/>
    </xf>
    <xf numFmtId="49" fontId="3" fillId="0" borderId="13" xfId="0" applyNumberFormat="1" applyFont="1" applyFill="1" applyBorder="1" applyAlignment="1">
      <alignment horizontal="center"/>
    </xf>
    <xf numFmtId="49" fontId="3" fillId="0" borderId="33" xfId="0" applyNumberFormat="1" applyFont="1" applyFill="1" applyBorder="1" applyAlignment="1">
      <alignment horizontal="center"/>
    </xf>
    <xf numFmtId="43" fontId="0" fillId="0" borderId="0" xfId="0" applyNumberFormat="1" applyFill="1"/>
    <xf numFmtId="164" fontId="16" fillId="0" borderId="0" xfId="0" applyNumberFormat="1" applyFont="1"/>
    <xf numFmtId="164" fontId="16" fillId="6" borderId="3" xfId="0" applyNumberFormat="1" applyFont="1" applyFill="1" applyBorder="1" applyAlignment="1">
      <alignment horizontal="center"/>
    </xf>
    <xf numFmtId="0" fontId="14" fillId="0" borderId="28" xfId="0" applyFont="1" applyBorder="1" applyAlignment="1">
      <alignment horizontal="center"/>
    </xf>
    <xf numFmtId="43" fontId="3" fillId="0" borderId="0" xfId="0" applyNumberFormat="1" applyFont="1" applyFill="1"/>
    <xf numFmtId="164" fontId="3" fillId="0" borderId="0" xfId="2" applyFont="1" applyFill="1" applyAlignment="1">
      <alignment horizontal="center"/>
    </xf>
    <xf numFmtId="164" fontId="54" fillId="0" borderId="0" xfId="2" applyFont="1" applyFill="1"/>
    <xf numFmtId="164" fontId="1" fillId="0" borderId="0" xfId="2" applyFont="1"/>
    <xf numFmtId="43" fontId="20" fillId="0" borderId="0" xfId="0" applyNumberFormat="1" applyFont="1" applyFill="1"/>
    <xf numFmtId="164" fontId="3" fillId="6" borderId="32" xfId="2" applyFont="1" applyFill="1" applyBorder="1" applyAlignment="1">
      <alignment horizontal="center"/>
    </xf>
    <xf numFmtId="164" fontId="3" fillId="6" borderId="0" xfId="2" applyFont="1" applyFill="1" applyBorder="1"/>
    <xf numFmtId="164" fontId="3" fillId="6" borderId="4" xfId="2" applyFont="1" applyFill="1" applyBorder="1"/>
    <xf numFmtId="164" fontId="3" fillId="6" borderId="8" xfId="2" applyFont="1" applyFill="1" applyBorder="1"/>
    <xf numFmtId="164" fontId="3" fillId="0" borderId="9" xfId="2" applyFont="1" applyBorder="1"/>
    <xf numFmtId="0" fontId="10" fillId="0" borderId="0" xfId="0" applyFont="1" applyFill="1" applyAlignment="1">
      <alignment horizontal="left"/>
    </xf>
    <xf numFmtId="0" fontId="14" fillId="0" borderId="30" xfId="0" applyFont="1" applyBorder="1"/>
    <xf numFmtId="0" fontId="3" fillId="0" borderId="29" xfId="0" applyFont="1" applyFill="1" applyBorder="1" applyAlignment="1"/>
    <xf numFmtId="49" fontId="0" fillId="0" borderId="2" xfId="2" applyNumberFormat="1" applyFont="1" applyBorder="1" applyAlignment="1">
      <alignment horizontal="center"/>
    </xf>
    <xf numFmtId="49" fontId="3" fillId="0" borderId="35" xfId="2" applyNumberFormat="1" applyFont="1" applyBorder="1" applyAlignment="1">
      <alignment horizontal="center"/>
    </xf>
    <xf numFmtId="0" fontId="3" fillId="6" borderId="0" xfId="0" applyFont="1" applyFill="1" applyBorder="1"/>
    <xf numFmtId="43" fontId="0" fillId="0" borderId="0" xfId="0" applyNumberFormat="1"/>
    <xf numFmtId="165" fontId="20" fillId="0" borderId="0" xfId="0" applyNumberFormat="1" applyFont="1" applyFill="1"/>
    <xf numFmtId="165" fontId="3" fillId="0" borderId="0" xfId="0" applyNumberFormat="1" applyFont="1" applyFill="1"/>
    <xf numFmtId="49" fontId="3" fillId="0" borderId="0" xfId="2" applyNumberFormat="1" applyFont="1" applyFill="1" applyBorder="1" applyAlignment="1"/>
    <xf numFmtId="49" fontId="3" fillId="0" borderId="4" xfId="2" applyNumberFormat="1" applyFont="1" applyFill="1" applyBorder="1" applyAlignment="1"/>
    <xf numFmtId="0" fontId="0" fillId="0" borderId="13" xfId="0" applyBorder="1" applyAlignment="1">
      <alignment vertical="justify"/>
    </xf>
    <xf numFmtId="4" fontId="3" fillId="0" borderId="13" xfId="0" applyNumberFormat="1" applyFont="1" applyFill="1" applyBorder="1" applyAlignment="1">
      <alignment horizontal="center"/>
    </xf>
    <xf numFmtId="0" fontId="3" fillId="0" borderId="33" xfId="0" applyFont="1" applyFill="1" applyBorder="1" applyAlignment="1">
      <alignment vertical="justify"/>
    </xf>
    <xf numFmtId="164" fontId="53" fillId="6" borderId="13" xfId="2" applyFont="1" applyFill="1" applyBorder="1"/>
    <xf numFmtId="164" fontId="20" fillId="0" borderId="0" xfId="2" applyFont="1" applyFill="1" applyBorder="1"/>
    <xf numFmtId="164" fontId="14" fillId="0" borderId="0" xfId="0" applyNumberFormat="1" applyFont="1" applyFill="1"/>
    <xf numFmtId="164" fontId="32" fillId="0" borderId="0" xfId="2" applyFont="1" applyFill="1"/>
    <xf numFmtId="0" fontId="3" fillId="0" borderId="28" xfId="0" applyFont="1" applyFill="1" applyBorder="1" applyAlignment="1"/>
    <xf numFmtId="164" fontId="3" fillId="6" borderId="29" xfId="2" applyFont="1" applyFill="1" applyBorder="1"/>
    <xf numFmtId="164" fontId="0" fillId="0" borderId="7" xfId="2" applyFont="1" applyBorder="1" applyAlignment="1">
      <alignment horizontal="center"/>
    </xf>
    <xf numFmtId="49" fontId="0" fillId="0" borderId="0" xfId="2" applyNumberFormat="1" applyFont="1" applyBorder="1" applyAlignment="1">
      <alignment horizontal="center"/>
    </xf>
    <xf numFmtId="49" fontId="0" fillId="0" borderId="7" xfId="2" applyNumberFormat="1" applyFont="1" applyBorder="1" applyAlignment="1">
      <alignment horizontal="center"/>
    </xf>
    <xf numFmtId="164" fontId="0" fillId="0" borderId="0" xfId="2" applyFont="1" applyBorder="1" applyAlignment="1">
      <alignment horizontal="center"/>
    </xf>
    <xf numFmtId="164" fontId="3" fillId="6" borderId="0" xfId="2" applyFont="1" applyFill="1" applyBorder="1" applyAlignment="1">
      <alignment horizontal="right"/>
    </xf>
    <xf numFmtId="164" fontId="0" fillId="0" borderId="4" xfId="2" applyFont="1" applyBorder="1" applyAlignment="1">
      <alignment horizontal="center"/>
    </xf>
    <xf numFmtId="49" fontId="0" fillId="0" borderId="4" xfId="2" applyNumberFormat="1" applyFont="1" applyBorder="1" applyAlignment="1">
      <alignment horizontal="center"/>
    </xf>
    <xf numFmtId="49" fontId="3" fillId="0" borderId="4" xfId="2" applyNumberFormat="1" applyFont="1" applyBorder="1" applyAlignment="1">
      <alignment horizontal="center"/>
    </xf>
    <xf numFmtId="164" fontId="3" fillId="6" borderId="4" xfId="2" applyFont="1" applyFill="1" applyBorder="1" applyAlignment="1">
      <alignment horizontal="right"/>
    </xf>
    <xf numFmtId="164" fontId="0" fillId="0" borderId="8" xfId="2" applyFont="1" applyBorder="1" applyAlignment="1">
      <alignment horizontal="center"/>
    </xf>
    <xf numFmtId="49" fontId="0" fillId="0" borderId="8" xfId="2" applyNumberFormat="1" applyFont="1" applyBorder="1" applyAlignment="1">
      <alignment horizontal="center"/>
    </xf>
    <xf numFmtId="164" fontId="3" fillId="6" borderId="8" xfId="2" applyFont="1" applyFill="1" applyBorder="1" applyAlignment="1">
      <alignment horizontal="right"/>
    </xf>
    <xf numFmtId="164" fontId="3" fillId="6" borderId="6" xfId="2" applyFont="1" applyFill="1" applyBorder="1"/>
    <xf numFmtId="0" fontId="29" fillId="0" borderId="0" xfId="0" applyFont="1" applyAlignment="1">
      <alignment horizontal="center"/>
    </xf>
    <xf numFmtId="0" fontId="10" fillId="0" borderId="0" xfId="0" applyFont="1"/>
    <xf numFmtId="12" fontId="5" fillId="0" borderId="0" xfId="0" applyNumberFormat="1" applyFont="1" applyAlignment="1">
      <alignment vertical="justify"/>
    </xf>
    <xf numFmtId="12" fontId="8" fillId="0" borderId="0" xfId="0" applyNumberFormat="1" applyFont="1" applyAlignment="1">
      <alignment vertical="justify"/>
    </xf>
    <xf numFmtId="0" fontId="8" fillId="0" borderId="0" xfId="0" applyFont="1"/>
    <xf numFmtId="164" fontId="8" fillId="0" borderId="0" xfId="2" applyFont="1"/>
    <xf numFmtId="164" fontId="10" fillId="0" borderId="0" xfId="0" applyNumberFormat="1" applyFont="1"/>
    <xf numFmtId="164" fontId="8" fillId="0" borderId="0" xfId="0" applyNumberFormat="1" applyFont="1" applyAlignment="1">
      <alignment vertical="justify"/>
    </xf>
    <xf numFmtId="164" fontId="8" fillId="0" borderId="0" xfId="0" applyNumberFormat="1" applyFont="1"/>
    <xf numFmtId="164" fontId="10" fillId="0" borderId="0" xfId="2" applyFont="1"/>
    <xf numFmtId="0" fontId="4" fillId="0" borderId="0" xfId="1" applyFont="1" applyBorder="1" applyAlignment="1" applyProtection="1">
      <alignment horizontal="justify"/>
    </xf>
    <xf numFmtId="0" fontId="7" fillId="0" borderId="0" xfId="1" applyFont="1" applyBorder="1" applyAlignment="1" applyProtection="1">
      <alignment horizontal="justify"/>
    </xf>
    <xf numFmtId="0" fontId="10" fillId="0" borderId="0" xfId="0" applyFont="1" applyBorder="1" applyAlignment="1">
      <alignment horizontal="justify"/>
    </xf>
    <xf numFmtId="0" fontId="7" fillId="0" borderId="0" xfId="0" applyFont="1" applyBorder="1"/>
    <xf numFmtId="0" fontId="4" fillId="0" borderId="0" xfId="1" applyFont="1" applyBorder="1" applyAlignment="1" applyProtection="1">
      <alignment horizontal="justify" vertical="justify"/>
    </xf>
    <xf numFmtId="0" fontId="7" fillId="0" borderId="0" xfId="1" applyFont="1" applyBorder="1" applyAlignment="1" applyProtection="1">
      <alignment vertical="justify"/>
    </xf>
    <xf numFmtId="164" fontId="7" fillId="0" borderId="0" xfId="0" applyNumberFormat="1" applyFont="1"/>
    <xf numFmtId="49" fontId="55" fillId="0" borderId="0" xfId="1" applyNumberFormat="1" applyFont="1" applyAlignment="1" applyProtection="1">
      <alignment horizontal="center"/>
    </xf>
    <xf numFmtId="2" fontId="8" fillId="0" borderId="0" xfId="0" applyNumberFormat="1" applyFont="1" applyAlignment="1">
      <alignment horizontal="centerContinuous" vertical="center"/>
    </xf>
    <xf numFmtId="4" fontId="0" fillId="0" borderId="0" xfId="0" applyNumberFormat="1" applyAlignment="1">
      <alignment horizontal="centerContinuous" vertical="center"/>
    </xf>
    <xf numFmtId="49" fontId="0" fillId="0" borderId="0" xfId="0" applyNumberFormat="1" applyAlignment="1">
      <alignment horizontal="centerContinuous" vertical="center"/>
    </xf>
    <xf numFmtId="4" fontId="4" fillId="0" borderId="0" xfId="0" applyNumberFormat="1" applyFont="1" applyAlignment="1">
      <alignment horizontal="centerContinuous" vertical="center"/>
    </xf>
    <xf numFmtId="0" fontId="18" fillId="0" borderId="0" xfId="0" applyFont="1" applyFill="1" applyAlignment="1"/>
    <xf numFmtId="0" fontId="7" fillId="0" borderId="0" xfId="0" applyFont="1" applyAlignment="1">
      <alignment horizontal="centerContinuous" vertical="center"/>
    </xf>
    <xf numFmtId="0" fontId="5" fillId="5" borderId="36" xfId="0" applyFont="1" applyFill="1" applyBorder="1" applyAlignment="1">
      <alignment horizontal="center"/>
    </xf>
    <xf numFmtId="4" fontId="5" fillId="5" borderId="36" xfId="0" applyNumberFormat="1" applyFont="1" applyFill="1" applyBorder="1" applyAlignment="1">
      <alignment horizontal="center"/>
    </xf>
    <xf numFmtId="49" fontId="5" fillId="5" borderId="36" xfId="0" applyNumberFormat="1" applyFont="1" applyFill="1" applyBorder="1" applyAlignment="1">
      <alignment horizontal="center"/>
    </xf>
    <xf numFmtId="4" fontId="5" fillId="5" borderId="37" xfId="0" applyNumberFormat="1" applyFont="1" applyFill="1" applyBorder="1" applyAlignment="1">
      <alignment horizontal="center"/>
    </xf>
    <xf numFmtId="0" fontId="5" fillId="0" borderId="0" xfId="0" applyFont="1" applyAlignment="1">
      <alignment horizontal="center"/>
    </xf>
    <xf numFmtId="0" fontId="9" fillId="5" borderId="13" xfId="0" applyFont="1" applyFill="1" applyBorder="1"/>
    <xf numFmtId="4" fontId="9" fillId="5" borderId="13" xfId="0" applyNumberFormat="1" applyFont="1" applyFill="1" applyBorder="1"/>
    <xf numFmtId="4" fontId="5" fillId="5" borderId="13" xfId="0" applyNumberFormat="1" applyFont="1" applyFill="1" applyBorder="1" applyAlignment="1">
      <alignment horizontal="justify" vertical="center"/>
    </xf>
    <xf numFmtId="49" fontId="5" fillId="5" borderId="13" xfId="0" applyNumberFormat="1" applyFont="1" applyFill="1" applyBorder="1" applyAlignment="1">
      <alignment horizontal="justify" vertical="center"/>
    </xf>
    <xf numFmtId="4" fontId="9" fillId="5" borderId="38" xfId="0" applyNumberFormat="1" applyFont="1" applyFill="1" applyBorder="1"/>
    <xf numFmtId="0" fontId="9" fillId="0" borderId="0" xfId="0" applyFont="1"/>
    <xf numFmtId="0" fontId="7" fillId="0" borderId="29" xfId="0" applyFont="1" applyBorder="1"/>
    <xf numFmtId="0" fontId="0" fillId="0" borderId="29" xfId="0" applyBorder="1"/>
    <xf numFmtId="4" fontId="0" fillId="0" borderId="13" xfId="0" applyNumberFormat="1" applyBorder="1"/>
    <xf numFmtId="1" fontId="0" fillId="0" borderId="13" xfId="0" applyNumberFormat="1" applyBorder="1" applyAlignment="1">
      <alignment horizontal="center"/>
    </xf>
    <xf numFmtId="49" fontId="0" fillId="0" borderId="13" xfId="0" applyNumberFormat="1" applyBorder="1" applyAlignment="1">
      <alignment horizontal="center"/>
    </xf>
    <xf numFmtId="4" fontId="0" fillId="0" borderId="38" xfId="0" applyNumberFormat="1" applyBorder="1"/>
    <xf numFmtId="0" fontId="7" fillId="0" borderId="39" xfId="0" applyFont="1" applyBorder="1"/>
    <xf numFmtId="49" fontId="7" fillId="0" borderId="13" xfId="0" applyNumberFormat="1" applyFont="1" applyBorder="1" applyAlignment="1">
      <alignment horizontal="center"/>
    </xf>
    <xf numFmtId="0" fontId="7" fillId="0" borderId="6" xfId="0" applyFont="1" applyBorder="1"/>
    <xf numFmtId="1" fontId="7" fillId="0" borderId="13" xfId="0" applyNumberFormat="1" applyFont="1" applyBorder="1" applyAlignment="1">
      <alignment horizontal="center"/>
    </xf>
    <xf numFmtId="4" fontId="4" fillId="0" borderId="38" xfId="0" applyNumberFormat="1" applyFont="1" applyBorder="1"/>
    <xf numFmtId="49" fontId="0" fillId="0" borderId="13" xfId="0" applyNumberFormat="1" applyFill="1" applyBorder="1" applyAlignment="1">
      <alignment horizontal="center"/>
    </xf>
    <xf numFmtId="1" fontId="0" fillId="0" borderId="13" xfId="0" applyNumberFormat="1" applyFill="1" applyBorder="1" applyAlignment="1">
      <alignment horizontal="center"/>
    </xf>
    <xf numFmtId="4" fontId="7" fillId="0" borderId="38" xfId="0" applyNumberFormat="1" applyFont="1" applyBorder="1"/>
    <xf numFmtId="49" fontId="7" fillId="0" borderId="13" xfId="0" applyNumberFormat="1" applyFont="1" applyFill="1" applyBorder="1" applyAlignment="1">
      <alignment horizontal="center"/>
    </xf>
    <xf numFmtId="167" fontId="4" fillId="0" borderId="38" xfId="0" applyNumberFormat="1" applyFont="1" applyBorder="1"/>
    <xf numFmtId="4" fontId="0" fillId="0" borderId="40" xfId="0" applyNumberFormat="1" applyBorder="1"/>
    <xf numFmtId="0" fontId="7" fillId="0" borderId="41" xfId="0" applyFont="1" applyBorder="1"/>
    <xf numFmtId="4" fontId="0" fillId="0" borderId="6" xfId="0" applyNumberFormat="1" applyBorder="1"/>
    <xf numFmtId="1" fontId="0" fillId="0" borderId="6" xfId="0" applyNumberFormat="1" applyBorder="1" applyAlignment="1">
      <alignment horizontal="center"/>
    </xf>
    <xf numFmtId="49" fontId="0" fillId="0" borderId="6" xfId="0" applyNumberFormat="1" applyFill="1" applyBorder="1" applyAlignment="1">
      <alignment horizontal="center"/>
    </xf>
    <xf numFmtId="1" fontId="0" fillId="0" borderId="6" xfId="0" applyNumberFormat="1" applyFill="1" applyBorder="1" applyAlignment="1">
      <alignment horizontal="center"/>
    </xf>
    <xf numFmtId="4" fontId="4" fillId="0" borderId="40" xfId="0" applyNumberFormat="1" applyFont="1" applyBorder="1"/>
    <xf numFmtId="1" fontId="7" fillId="0" borderId="6" xfId="0" applyNumberFormat="1" applyFont="1" applyBorder="1" applyAlignment="1">
      <alignment horizontal="center"/>
    </xf>
    <xf numFmtId="49" fontId="7" fillId="0" borderId="6" xfId="0" applyNumberFormat="1" applyFont="1" applyFill="1" applyBorder="1" applyAlignment="1">
      <alignment horizontal="center"/>
    </xf>
    <xf numFmtId="164" fontId="7" fillId="0" borderId="40" xfId="2" applyFont="1" applyBorder="1"/>
    <xf numFmtId="4" fontId="7" fillId="0" borderId="40" xfId="0" applyNumberFormat="1" applyFont="1" applyBorder="1"/>
    <xf numFmtId="4" fontId="0" fillId="0" borderId="4" xfId="0" applyNumberFormat="1" applyBorder="1"/>
    <xf numFmtId="1" fontId="0" fillId="0" borderId="4" xfId="0" applyNumberFormat="1" applyFill="1" applyBorder="1" applyAlignment="1">
      <alignment horizontal="center"/>
    </xf>
    <xf numFmtId="4" fontId="4" fillId="0" borderId="4" xfId="0" applyNumberFormat="1" applyFont="1" applyBorder="1"/>
    <xf numFmtId="4" fontId="0" fillId="0" borderId="0" xfId="0" applyNumberFormat="1" applyBorder="1"/>
    <xf numFmtId="1" fontId="0" fillId="0" borderId="0" xfId="0" applyNumberFormat="1" applyFill="1" applyBorder="1" applyAlignment="1">
      <alignment horizontal="center"/>
    </xf>
    <xf numFmtId="4" fontId="0" fillId="0" borderId="8" xfId="0" applyNumberFormat="1" applyBorder="1"/>
    <xf numFmtId="1" fontId="0" fillId="0" borderId="8" xfId="0" applyNumberFormat="1" applyFill="1" applyBorder="1" applyAlignment="1">
      <alignment horizontal="center"/>
    </xf>
    <xf numFmtId="4" fontId="4" fillId="0" borderId="8" xfId="0" applyNumberFormat="1" applyFont="1" applyBorder="1"/>
    <xf numFmtId="0" fontId="7" fillId="0" borderId="42" xfId="0" applyFont="1" applyBorder="1"/>
    <xf numFmtId="4" fontId="0" fillId="0" borderId="1" xfId="0" applyNumberFormat="1" applyBorder="1"/>
    <xf numFmtId="1" fontId="7" fillId="0" borderId="1" xfId="0" applyNumberFormat="1" applyFont="1" applyBorder="1" applyAlignment="1">
      <alignment horizontal="center"/>
    </xf>
    <xf numFmtId="49" fontId="7" fillId="0" borderId="1" xfId="0" applyNumberFormat="1" applyFont="1" applyFill="1" applyBorder="1" applyAlignment="1">
      <alignment horizontal="center"/>
    </xf>
    <xf numFmtId="1" fontId="0" fillId="0" borderId="1" xfId="0" applyNumberFormat="1" applyFill="1" applyBorder="1" applyAlignment="1">
      <alignment horizontal="center"/>
    </xf>
    <xf numFmtId="0" fontId="7" fillId="0" borderId="1" xfId="0" applyFont="1" applyBorder="1"/>
    <xf numFmtId="4" fontId="0" fillId="0" borderId="43" xfId="0" applyNumberFormat="1" applyBorder="1"/>
    <xf numFmtId="1" fontId="7" fillId="0" borderId="6" xfId="0" applyNumberFormat="1" applyFont="1" applyFill="1" applyBorder="1" applyAlignment="1">
      <alignment horizontal="center"/>
    </xf>
    <xf numFmtId="49" fontId="0" fillId="0" borderId="6" xfId="0" applyNumberFormat="1" applyBorder="1" applyAlignment="1">
      <alignment horizontal="center"/>
    </xf>
    <xf numFmtId="0" fontId="4" fillId="0" borderId="6" xfId="0" applyFont="1" applyBorder="1"/>
    <xf numFmtId="0" fontId="7" fillId="0" borderId="44" xfId="0" applyFont="1" applyBorder="1"/>
    <xf numFmtId="0" fontId="0" fillId="0" borderId="45" xfId="0" applyBorder="1"/>
    <xf numFmtId="4" fontId="4" fillId="0" borderId="45" xfId="0" applyNumberFormat="1" applyFont="1" applyBorder="1"/>
    <xf numFmtId="1" fontId="0" fillId="0" borderId="45" xfId="0" applyNumberFormat="1" applyBorder="1" applyAlignment="1">
      <alignment horizontal="center"/>
    </xf>
    <xf numFmtId="49" fontId="0" fillId="0" borderId="45" xfId="0" applyNumberFormat="1" applyBorder="1" applyAlignment="1">
      <alignment horizontal="center"/>
    </xf>
    <xf numFmtId="4" fontId="0" fillId="0" borderId="45" xfId="0" applyNumberFormat="1" applyBorder="1"/>
    <xf numFmtId="4" fontId="4" fillId="0" borderId="46" xfId="0" applyNumberFormat="1" applyFont="1" applyBorder="1"/>
    <xf numFmtId="0" fontId="7" fillId="6" borderId="0" xfId="0" applyFont="1" applyFill="1" applyBorder="1" applyAlignment="1">
      <alignment horizontal="justify" vertical="top"/>
    </xf>
    <xf numFmtId="0" fontId="0" fillId="6" borderId="0" xfId="0" applyFill="1" applyBorder="1" applyAlignment="1">
      <alignment horizontal="justify" vertical="top"/>
    </xf>
    <xf numFmtId="49" fontId="0" fillId="6" borderId="0" xfId="0" applyNumberFormat="1" applyFill="1" applyBorder="1" applyAlignment="1">
      <alignment horizontal="justify" vertical="top"/>
    </xf>
    <xf numFmtId="0" fontId="8" fillId="6" borderId="0" xfId="0" applyFont="1" applyFill="1" applyBorder="1"/>
    <xf numFmtId="0" fontId="10" fillId="6" borderId="0" xfId="0" applyFont="1" applyFill="1" applyBorder="1"/>
    <xf numFmtId="4" fontId="10" fillId="6" borderId="0" xfId="0" applyNumberFormat="1" applyFont="1" applyFill="1" applyBorder="1"/>
    <xf numFmtId="49" fontId="10" fillId="6" borderId="0" xfId="0" applyNumberFormat="1" applyFont="1" applyFill="1" applyBorder="1"/>
    <xf numFmtId="0" fontId="7" fillId="6" borderId="0" xfId="0" applyFont="1" applyFill="1" applyBorder="1" applyAlignment="1">
      <alignment horizontal="left"/>
    </xf>
    <xf numFmtId="0" fontId="0" fillId="6" borderId="0" xfId="0" applyFill="1" applyBorder="1"/>
    <xf numFmtId="49" fontId="0" fillId="6" borderId="0" xfId="0" applyNumberFormat="1" applyFill="1" applyBorder="1"/>
    <xf numFmtId="167" fontId="0" fillId="0" borderId="0" xfId="0" applyNumberFormat="1"/>
    <xf numFmtId="1" fontId="7" fillId="0" borderId="1" xfId="0" applyNumberFormat="1" applyFont="1" applyFill="1" applyBorder="1" applyAlignment="1">
      <alignment horizontal="center"/>
    </xf>
    <xf numFmtId="1" fontId="7" fillId="0" borderId="1" xfId="0" applyNumberFormat="1" applyFont="1" applyFill="1" applyBorder="1" applyAlignment="1">
      <alignment horizontal="left"/>
    </xf>
    <xf numFmtId="1" fontId="0" fillId="0" borderId="0" xfId="0" applyNumberFormat="1" applyBorder="1" applyAlignment="1">
      <alignment horizontal="center"/>
    </xf>
    <xf numFmtId="49" fontId="0" fillId="0" borderId="0" xfId="0" applyNumberFormat="1" applyFill="1" applyBorder="1" applyAlignment="1">
      <alignment horizontal="center"/>
    </xf>
    <xf numFmtId="1" fontId="0" fillId="0" borderId="4" xfId="0" applyNumberFormat="1" applyBorder="1" applyAlignment="1">
      <alignment horizontal="center"/>
    </xf>
    <xf numFmtId="49" fontId="0" fillId="0" borderId="4" xfId="0" applyNumberFormat="1" applyFill="1" applyBorder="1" applyAlignment="1">
      <alignment horizontal="center"/>
    </xf>
    <xf numFmtId="1" fontId="0" fillId="0" borderId="8" xfId="0" applyNumberFormat="1" applyBorder="1" applyAlignment="1">
      <alignment horizontal="center"/>
    </xf>
    <xf numFmtId="49" fontId="0" fillId="0" borderId="8" xfId="0" applyNumberFormat="1" applyFill="1" applyBorder="1" applyAlignment="1">
      <alignment horizontal="center"/>
    </xf>
    <xf numFmtId="3" fontId="4" fillId="0" borderId="0" xfId="0" applyNumberFormat="1" applyFont="1" applyBorder="1" applyAlignment="1">
      <alignment horizontal="center"/>
    </xf>
    <xf numFmtId="0" fontId="0" fillId="0" borderId="0" xfId="0" applyProtection="1"/>
    <xf numFmtId="0" fontId="0" fillId="0" borderId="0" xfId="0" applyProtection="1">
      <protection locked="0"/>
    </xf>
    <xf numFmtId="0" fontId="4" fillId="0" borderId="0" xfId="0" applyFont="1" applyAlignment="1" applyProtection="1">
      <alignment horizontal="center"/>
    </xf>
    <xf numFmtId="0" fontId="4" fillId="0" borderId="0" xfId="0" applyFont="1" applyAlignment="1">
      <alignment horizontal="center"/>
    </xf>
    <xf numFmtId="166" fontId="8" fillId="0" borderId="0" xfId="0" applyNumberFormat="1" applyFont="1" applyAlignment="1">
      <alignment horizontal="center"/>
    </xf>
    <xf numFmtId="0" fontId="16" fillId="0" borderId="0" xfId="0" applyFont="1" applyAlignment="1">
      <alignment horizontal="center"/>
    </xf>
    <xf numFmtId="12" fontId="8" fillId="0" borderId="0" xfId="0" applyNumberFormat="1" applyFont="1" applyAlignment="1">
      <alignment horizontal="center" vertical="justify"/>
    </xf>
    <xf numFmtId="164" fontId="0" fillId="0" borderId="0" xfId="0" applyNumberFormat="1" applyFill="1"/>
    <xf numFmtId="164" fontId="3" fillId="6" borderId="0" xfId="2" applyFont="1" applyFill="1"/>
    <xf numFmtId="0" fontId="19" fillId="6" borderId="13" xfId="0" applyFont="1" applyFill="1" applyBorder="1" applyAlignment="1">
      <alignment horizontal="center" vertical="justify"/>
    </xf>
    <xf numFmtId="164" fontId="19" fillId="6" borderId="13" xfId="2" applyFont="1" applyFill="1" applyBorder="1"/>
    <xf numFmtId="164" fontId="16" fillId="6" borderId="6" xfId="2" applyFont="1" applyFill="1" applyBorder="1"/>
    <xf numFmtId="164" fontId="19" fillId="6" borderId="1" xfId="2" applyFont="1" applyFill="1" applyBorder="1"/>
    <xf numFmtId="164" fontId="19" fillId="6" borderId="2" xfId="2" applyFont="1" applyFill="1" applyBorder="1"/>
    <xf numFmtId="164" fontId="19" fillId="6" borderId="4" xfId="2" applyFont="1" applyFill="1" applyBorder="1"/>
    <xf numFmtId="164" fontId="16" fillId="6" borderId="8" xfId="2" applyFont="1" applyFill="1" applyBorder="1"/>
    <xf numFmtId="0" fontId="21" fillId="6" borderId="0" xfId="0" applyFont="1" applyFill="1" applyAlignment="1">
      <alignment horizontal="center"/>
    </xf>
    <xf numFmtId="0" fontId="19" fillId="6" borderId="2" xfId="0" applyFont="1" applyFill="1" applyBorder="1" applyAlignment="1">
      <alignment horizontal="center" vertical="justify"/>
    </xf>
    <xf numFmtId="164" fontId="19" fillId="6" borderId="6" xfId="2" applyFont="1" applyFill="1" applyBorder="1"/>
    <xf numFmtId="164" fontId="22" fillId="6" borderId="4" xfId="2" applyFont="1" applyFill="1" applyBorder="1"/>
    <xf numFmtId="164" fontId="22" fillId="6" borderId="13" xfId="2" applyFont="1" applyFill="1" applyBorder="1"/>
    <xf numFmtId="164" fontId="3" fillId="6" borderId="13" xfId="2" applyFont="1" applyFill="1" applyBorder="1"/>
    <xf numFmtId="0" fontId="15" fillId="0" borderId="33" xfId="0" applyFont="1" applyFill="1" applyBorder="1" applyAlignment="1">
      <alignment horizontal="center"/>
    </xf>
    <xf numFmtId="0" fontId="14" fillId="0" borderId="33" xfId="0" applyFont="1" applyFill="1" applyBorder="1" applyAlignment="1">
      <alignment horizontal="center"/>
    </xf>
    <xf numFmtId="0" fontId="14" fillId="0" borderId="13" xfId="0" applyFont="1" applyFill="1" applyBorder="1"/>
    <xf numFmtId="0" fontId="14" fillId="0" borderId="3" xfId="0" applyFont="1" applyFill="1" applyBorder="1"/>
    <xf numFmtId="0" fontId="15" fillId="0" borderId="29" xfId="1" applyFont="1" applyBorder="1" applyAlignment="1" applyProtection="1">
      <alignment horizontal="justify"/>
    </xf>
    <xf numFmtId="39" fontId="14" fillId="0" borderId="13" xfId="0" applyNumberFormat="1" applyFont="1" applyFill="1" applyBorder="1" applyAlignment="1"/>
    <xf numFmtId="49" fontId="14" fillId="0" borderId="13" xfId="0" applyNumberFormat="1" applyFont="1" applyFill="1" applyBorder="1" applyAlignment="1">
      <alignment horizontal="center"/>
    </xf>
    <xf numFmtId="0" fontId="15" fillId="0" borderId="13" xfId="1" applyFont="1" applyBorder="1" applyAlignment="1" applyProtection="1">
      <alignment horizontal="center"/>
    </xf>
    <xf numFmtId="0" fontId="14" fillId="0" borderId="13" xfId="0" applyFont="1" applyFill="1" applyBorder="1" applyAlignment="1">
      <alignment horizontal="center"/>
    </xf>
    <xf numFmtId="0" fontId="15" fillId="0" borderId="13" xfId="0" applyFont="1" applyFill="1" applyBorder="1" applyAlignment="1">
      <alignment horizontal="center"/>
    </xf>
    <xf numFmtId="0" fontId="14" fillId="0" borderId="13" xfId="0" applyFont="1" applyFill="1" applyBorder="1" applyAlignment="1">
      <alignment horizontal="center" vertical="justify"/>
    </xf>
    <xf numFmtId="0" fontId="15" fillId="0" borderId="13" xfId="0" applyFont="1" applyBorder="1" applyAlignment="1">
      <alignment horizontal="center" vertical="justify"/>
    </xf>
    <xf numFmtId="0" fontId="14" fillId="0" borderId="13" xfId="0" applyFont="1" applyFill="1" applyBorder="1" applyAlignment="1">
      <alignment horizontal="left"/>
    </xf>
    <xf numFmtId="0" fontId="15" fillId="0" borderId="13" xfId="1" applyFont="1" applyBorder="1" applyAlignment="1" applyProtection="1">
      <alignment horizontal="justify"/>
    </xf>
    <xf numFmtId="0" fontId="7" fillId="0" borderId="13" xfId="0" applyFont="1" applyFill="1" applyBorder="1" applyAlignment="1" applyProtection="1">
      <alignment horizontal="left" vertical="top"/>
      <protection locked="0"/>
    </xf>
    <xf numFmtId="0" fontId="7" fillId="0" borderId="13" xfId="0" applyFont="1" applyFill="1" applyBorder="1" applyAlignment="1" applyProtection="1">
      <alignment horizontal="center" vertical="top"/>
      <protection locked="0"/>
    </xf>
    <xf numFmtId="164" fontId="14" fillId="8" borderId="13" xfId="2" applyFont="1" applyFill="1" applyBorder="1" applyAlignment="1">
      <alignment horizontal="center"/>
    </xf>
    <xf numFmtId="164" fontId="16" fillId="8" borderId="13" xfId="0" applyNumberFormat="1" applyFont="1" applyFill="1" applyBorder="1" applyAlignment="1">
      <alignment horizontal="center"/>
    </xf>
    <xf numFmtId="0" fontId="19" fillId="0" borderId="0" xfId="0" applyFont="1" applyBorder="1"/>
    <xf numFmtId="164" fontId="16" fillId="6" borderId="0" xfId="2" applyFont="1" applyFill="1" applyBorder="1"/>
    <xf numFmtId="0" fontId="3" fillId="0" borderId="3" xfId="0" applyFont="1" applyBorder="1"/>
    <xf numFmtId="164" fontId="3" fillId="6" borderId="33" xfId="2" applyFont="1" applyFill="1" applyBorder="1"/>
    <xf numFmtId="0" fontId="4" fillId="0" borderId="0" xfId="1" applyFont="1" applyBorder="1" applyAlignment="1" applyProtection="1">
      <alignment horizontal="left"/>
    </xf>
    <xf numFmtId="0" fontId="4" fillId="0" borderId="0" xfId="1" applyFont="1" applyBorder="1" applyAlignment="1" applyProtection="1"/>
    <xf numFmtId="0" fontId="8" fillId="0" borderId="0" xfId="0" applyFont="1" applyBorder="1" applyAlignment="1">
      <alignment horizontal="justify"/>
    </xf>
    <xf numFmtId="164" fontId="10" fillId="0" borderId="0" xfId="0" applyNumberFormat="1" applyFont="1" applyAlignment="1">
      <alignment vertical="justify"/>
    </xf>
    <xf numFmtId="0" fontId="8" fillId="0" borderId="0" xfId="0" applyNumberFormat="1" applyFont="1" applyAlignment="1">
      <alignment horizontal="center"/>
    </xf>
    <xf numFmtId="168" fontId="0" fillId="0" borderId="0" xfId="0" applyNumberFormat="1"/>
    <xf numFmtId="4" fontId="3" fillId="0" borderId="0" xfId="0" applyNumberFormat="1" applyFont="1"/>
    <xf numFmtId="4" fontId="3" fillId="0" borderId="0" xfId="0" applyNumberFormat="1" applyFont="1" applyAlignment="1">
      <alignment horizontal="centerContinuous" vertical="center"/>
    </xf>
    <xf numFmtId="4" fontId="16" fillId="5" borderId="13" xfId="0" applyNumberFormat="1" applyFont="1" applyFill="1" applyBorder="1" applyAlignment="1">
      <alignment horizontal="justify" vertical="center"/>
    </xf>
    <xf numFmtId="1" fontId="3" fillId="0" borderId="13" xfId="0" applyNumberFormat="1" applyFont="1" applyBorder="1" applyAlignment="1">
      <alignment horizontal="center"/>
    </xf>
    <xf numFmtId="1" fontId="3" fillId="0" borderId="6" xfId="0" applyNumberFormat="1" applyFont="1" applyBorder="1" applyAlignment="1">
      <alignment horizontal="center"/>
    </xf>
    <xf numFmtId="1" fontId="3" fillId="0" borderId="13" xfId="0" applyNumberFormat="1" applyFont="1" applyFill="1" applyBorder="1" applyAlignment="1">
      <alignment horizontal="center"/>
    </xf>
    <xf numFmtId="1" fontId="3" fillId="0" borderId="6" xfId="0" applyNumberFormat="1" applyFont="1" applyFill="1" applyBorder="1" applyAlignment="1">
      <alignment horizontal="center"/>
    </xf>
    <xf numFmtId="1" fontId="3" fillId="0" borderId="1" xfId="0" applyNumberFormat="1" applyFont="1" applyFill="1" applyBorder="1" applyAlignment="1">
      <alignment horizontal="center"/>
    </xf>
    <xf numFmtId="1" fontId="3" fillId="0" borderId="4" xfId="0" applyNumberFormat="1" applyFont="1" applyFill="1" applyBorder="1" applyAlignment="1">
      <alignment horizontal="center"/>
    </xf>
    <xf numFmtId="1" fontId="3" fillId="0" borderId="0" xfId="0" applyNumberFormat="1" applyFont="1" applyFill="1" applyBorder="1" applyAlignment="1">
      <alignment horizontal="center"/>
    </xf>
    <xf numFmtId="1" fontId="3" fillId="0" borderId="8" xfId="0" applyNumberFormat="1" applyFont="1" applyFill="1" applyBorder="1" applyAlignment="1">
      <alignment horizontal="center"/>
    </xf>
    <xf numFmtId="1" fontId="3" fillId="0" borderId="32" xfId="0" applyNumberFormat="1" applyFont="1" applyFill="1" applyBorder="1" applyAlignment="1">
      <alignment horizontal="center"/>
    </xf>
    <xf numFmtId="1" fontId="3" fillId="0" borderId="45" xfId="0" applyNumberFormat="1" applyFont="1" applyBorder="1" applyAlignment="1">
      <alignment horizontal="center"/>
    </xf>
    <xf numFmtId="0" fontId="3" fillId="6" borderId="0" xfId="0" applyFont="1" applyFill="1" applyBorder="1" applyAlignment="1">
      <alignment horizontal="justify" vertical="top"/>
    </xf>
    <xf numFmtId="4" fontId="3" fillId="6" borderId="0" xfId="0" applyNumberFormat="1" applyFont="1" applyFill="1" applyBorder="1"/>
    <xf numFmtId="0" fontId="16" fillId="0" borderId="13" xfId="0" applyFont="1" applyFill="1" applyBorder="1" applyAlignment="1">
      <alignment horizontal="center"/>
    </xf>
    <xf numFmtId="0" fontId="1" fillId="0" borderId="13" xfId="1" applyFont="1" applyBorder="1" applyAlignment="1" applyProtection="1">
      <alignment horizontal="justify"/>
    </xf>
    <xf numFmtId="0" fontId="1" fillId="0" borderId="13" xfId="0" applyFont="1" applyBorder="1"/>
    <xf numFmtId="0" fontId="1" fillId="0" borderId="13" xfId="1" applyFont="1" applyBorder="1" applyAlignment="1" applyProtection="1">
      <alignment vertical="justify"/>
    </xf>
    <xf numFmtId="0" fontId="1" fillId="0" borderId="6" xfId="1" applyFont="1" applyBorder="1" applyAlignment="1" applyProtection="1">
      <alignment horizontal="justify"/>
    </xf>
    <xf numFmtId="0" fontId="1" fillId="0" borderId="8" xfId="1" applyFont="1" applyBorder="1" applyAlignment="1" applyProtection="1">
      <alignment horizontal="justify"/>
    </xf>
    <xf numFmtId="0" fontId="1" fillId="0" borderId="2" xfId="1" applyFont="1" applyBorder="1" applyAlignment="1" applyProtection="1">
      <alignment horizontal="justify"/>
    </xf>
    <xf numFmtId="0" fontId="1" fillId="0" borderId="8" xfId="0" applyFont="1" applyBorder="1"/>
    <xf numFmtId="0" fontId="1" fillId="0" borderId="4" xfId="0" applyFont="1" applyBorder="1"/>
    <xf numFmtId="0" fontId="53" fillId="9" borderId="0" xfId="0" applyFont="1" applyFill="1" applyBorder="1" applyAlignment="1">
      <alignment horizontal="center"/>
    </xf>
    <xf numFmtId="0" fontId="3" fillId="10" borderId="0" xfId="0" applyFont="1" applyFill="1" applyBorder="1" applyAlignment="1">
      <alignment horizontal="center"/>
    </xf>
    <xf numFmtId="164" fontId="16" fillId="10" borderId="2" xfId="2" applyFont="1" applyFill="1" applyBorder="1" applyAlignment="1">
      <alignment horizontal="center"/>
    </xf>
    <xf numFmtId="1" fontId="1" fillId="0" borderId="32" xfId="0" applyNumberFormat="1" applyFont="1" applyFill="1" applyBorder="1" applyAlignment="1">
      <alignment horizontal="left"/>
    </xf>
    <xf numFmtId="41" fontId="20" fillId="0" borderId="0" xfId="3" applyFont="1" applyFill="1"/>
    <xf numFmtId="41" fontId="20" fillId="0" borderId="0" xfId="0" applyNumberFormat="1" applyFont="1" applyFill="1"/>
    <xf numFmtId="41" fontId="0" fillId="0" borderId="0" xfId="3" applyFont="1"/>
    <xf numFmtId="0" fontId="4" fillId="0" borderId="0" xfId="0" applyFont="1" applyFill="1" applyAlignment="1">
      <alignment horizontal="center"/>
    </xf>
    <xf numFmtId="0" fontId="7" fillId="0" borderId="13" xfId="0" applyFont="1" applyFill="1" applyBorder="1" applyAlignment="1" applyProtection="1">
      <alignment horizontal="left" vertical="top"/>
      <protection locked="0"/>
    </xf>
    <xf numFmtId="0" fontId="0" fillId="0" borderId="45" xfId="0" applyFont="1" applyFill="1" applyBorder="1"/>
    <xf numFmtId="39" fontId="14" fillId="0" borderId="13" xfId="0" applyNumberFormat="1" applyFont="1" applyBorder="1"/>
    <xf numFmtId="39" fontId="14" fillId="0" borderId="13" xfId="0" applyNumberFormat="1" applyFont="1" applyFill="1" applyBorder="1"/>
    <xf numFmtId="0" fontId="1" fillId="0" borderId="13" xfId="0" applyFont="1" applyFill="1" applyBorder="1" applyAlignment="1" applyProtection="1">
      <alignment horizontal="left" vertical="top"/>
      <protection locked="0"/>
    </xf>
    <xf numFmtId="0" fontId="1" fillId="0" borderId="6" xfId="0" applyFont="1" applyBorder="1"/>
    <xf numFmtId="0" fontId="16" fillId="10" borderId="13" xfId="0" applyFont="1" applyFill="1" applyBorder="1" applyAlignment="1">
      <alignment horizontal="center"/>
    </xf>
    <xf numFmtId="164" fontId="16" fillId="10" borderId="2" xfId="2" applyFont="1" applyFill="1" applyBorder="1" applyAlignment="1">
      <alignment horizontal="center" vertical="justify"/>
    </xf>
    <xf numFmtId="164" fontId="37" fillId="10" borderId="2" xfId="2" applyFont="1" applyFill="1" applyBorder="1" applyAlignment="1">
      <alignment horizontal="center" vertical="justify"/>
    </xf>
    <xf numFmtId="164" fontId="16" fillId="10" borderId="13" xfId="2" applyFont="1" applyFill="1" applyBorder="1" applyAlignment="1">
      <alignment horizontal="center" vertical="justify"/>
    </xf>
    <xf numFmtId="164" fontId="16" fillId="11" borderId="13" xfId="2" applyFont="1" applyFill="1" applyBorder="1" applyAlignment="1">
      <alignment horizontal="center" vertical="justify"/>
    </xf>
    <xf numFmtId="0" fontId="4" fillId="12" borderId="0" xfId="0" applyFont="1" applyFill="1" applyAlignment="1">
      <alignment horizontal="center"/>
    </xf>
    <xf numFmtId="164" fontId="4" fillId="12" borderId="0" xfId="0" applyNumberFormat="1" applyFont="1" applyFill="1" applyAlignment="1">
      <alignment horizontal="center"/>
    </xf>
    <xf numFmtId="164" fontId="1" fillId="12" borderId="0" xfId="2" applyFont="1" applyFill="1"/>
    <xf numFmtId="164" fontId="59" fillId="12" borderId="0" xfId="2" applyFont="1" applyFill="1"/>
    <xf numFmtId="164" fontId="1" fillId="12" borderId="0" xfId="0" applyNumberFormat="1" applyFont="1" applyFill="1"/>
    <xf numFmtId="0" fontId="1" fillId="0" borderId="0" xfId="0" applyFont="1" applyFill="1"/>
    <xf numFmtId="164" fontId="1" fillId="0" borderId="0" xfId="2" applyFont="1" applyFill="1"/>
    <xf numFmtId="1" fontId="1" fillId="0" borderId="13" xfId="0" applyNumberFormat="1" applyFont="1" applyBorder="1" applyAlignment="1">
      <alignment horizontal="center"/>
    </xf>
    <xf numFmtId="49" fontId="1" fillId="0" borderId="13" xfId="0" applyNumberFormat="1" applyFont="1" applyBorder="1" applyAlignment="1">
      <alignment horizontal="center"/>
    </xf>
    <xf numFmtId="164" fontId="60" fillId="9" borderId="13" xfId="2" applyFont="1" applyFill="1" applyBorder="1" applyAlignment="1">
      <alignment horizontal="center" vertical="justify"/>
    </xf>
    <xf numFmtId="0" fontId="1" fillId="0" borderId="41" xfId="0" applyFont="1" applyBorder="1"/>
    <xf numFmtId="169" fontId="0" fillId="0" borderId="0" xfId="3" applyNumberFormat="1" applyFont="1"/>
    <xf numFmtId="169" fontId="0" fillId="0" borderId="0" xfId="0" applyNumberFormat="1"/>
    <xf numFmtId="169" fontId="20" fillId="0" borderId="0" xfId="3" applyNumberFormat="1" applyFont="1" applyFill="1"/>
    <xf numFmtId="1" fontId="1" fillId="0" borderId="6" xfId="0" applyNumberFormat="1" applyFont="1" applyBorder="1" applyAlignment="1">
      <alignment horizontal="center"/>
    </xf>
    <xf numFmtId="49" fontId="1" fillId="0" borderId="6" xfId="0" applyNumberFormat="1" applyFont="1" applyFill="1" applyBorder="1" applyAlignment="1">
      <alignment horizontal="center"/>
    </xf>
    <xf numFmtId="0" fontId="1" fillId="0" borderId="15" xfId="0" applyFont="1" applyBorder="1"/>
    <xf numFmtId="0" fontId="1" fillId="0" borderId="19" xfId="0" applyFont="1" applyBorder="1" applyAlignment="1">
      <alignment vertical="justify"/>
    </xf>
    <xf numFmtId="41" fontId="3" fillId="0" borderId="0" xfId="3" applyFont="1" applyFill="1"/>
    <xf numFmtId="0" fontId="18" fillId="0" borderId="0" xfId="0" applyFont="1" applyAlignment="1">
      <alignment horizontal="center"/>
    </xf>
    <xf numFmtId="0" fontId="22" fillId="0" borderId="13" xfId="0" applyFont="1" applyBorder="1"/>
    <xf numFmtId="0" fontId="1" fillId="6" borderId="1" xfId="0" applyFont="1" applyFill="1" applyBorder="1"/>
    <xf numFmtId="0" fontId="1" fillId="0" borderId="1" xfId="0" applyFont="1" applyFill="1" applyBorder="1"/>
    <xf numFmtId="164" fontId="1" fillId="0" borderId="0" xfId="2" applyFont="1" applyAlignment="1">
      <alignment horizontal="centerContinuous" vertical="center"/>
    </xf>
    <xf numFmtId="0" fontId="14" fillId="0" borderId="0" xfId="0" applyFont="1" applyAlignment="1">
      <alignment horizontal="center"/>
    </xf>
    <xf numFmtId="170" fontId="14" fillId="0" borderId="0" xfId="3" applyNumberFormat="1" applyFont="1" applyBorder="1"/>
    <xf numFmtId="0" fontId="1" fillId="0" borderId="18" xfId="0" applyFont="1" applyBorder="1"/>
    <xf numFmtId="164" fontId="1" fillId="0" borderId="19" xfId="2" applyFont="1" applyBorder="1" applyAlignment="1">
      <alignment horizontal="right" wrapText="1"/>
    </xf>
    <xf numFmtId="0" fontId="15" fillId="0" borderId="33" xfId="0" applyFont="1" applyFill="1" applyBorder="1" applyAlignment="1">
      <alignment horizontal="center"/>
    </xf>
    <xf numFmtId="0" fontId="7" fillId="0" borderId="29" xfId="0" applyFont="1" applyFill="1" applyBorder="1" applyAlignment="1" applyProtection="1">
      <alignment horizontal="left" vertical="top"/>
      <protection locked="0"/>
    </xf>
    <xf numFmtId="0" fontId="15" fillId="0" borderId="29" xfId="0" applyFont="1" applyBorder="1" applyAlignment="1">
      <alignment horizontal="center" vertical="justify"/>
    </xf>
    <xf numFmtId="164" fontId="14" fillId="6" borderId="0" xfId="0" applyNumberFormat="1" applyFont="1" applyFill="1" applyBorder="1"/>
    <xf numFmtId="164" fontId="61" fillId="6" borderId="0" xfId="0" applyNumberFormat="1" applyFont="1" applyFill="1" applyBorder="1"/>
    <xf numFmtId="0" fontId="14" fillId="6" borderId="0" xfId="0" applyFont="1" applyFill="1" applyBorder="1"/>
    <xf numFmtId="0" fontId="1" fillId="0" borderId="13" xfId="0" applyFont="1" applyFill="1" applyBorder="1"/>
    <xf numFmtId="0" fontId="1" fillId="0" borderId="6" xfId="0" applyFont="1" applyFill="1" applyBorder="1"/>
    <xf numFmtId="0" fontId="1" fillId="0" borderId="6" xfId="0" applyFont="1" applyFill="1" applyBorder="1" applyAlignment="1"/>
    <xf numFmtId="0" fontId="1" fillId="0" borderId="13" xfId="0" applyFont="1" applyFill="1" applyBorder="1" applyAlignment="1"/>
    <xf numFmtId="0" fontId="1" fillId="0" borderId="13" xfId="0" applyFont="1" applyFill="1" applyBorder="1" applyAlignment="1">
      <alignment horizontal="left"/>
    </xf>
    <xf numFmtId="0" fontId="1" fillId="0" borderId="13" xfId="0" applyFont="1" applyFill="1" applyBorder="1" applyAlignment="1">
      <alignment vertical="center" wrapText="1"/>
    </xf>
    <xf numFmtId="0" fontId="1" fillId="0" borderId="13" xfId="0" applyFont="1" applyFill="1" applyBorder="1" applyAlignment="1">
      <alignment horizontal="left" vertical="center" wrapText="1"/>
    </xf>
    <xf numFmtId="171" fontId="1" fillId="0" borderId="13" xfId="0" applyNumberFormat="1" applyFont="1" applyFill="1" applyBorder="1"/>
    <xf numFmtId="0" fontId="7" fillId="0" borderId="0" xfId="0" applyFont="1" applyFill="1" applyBorder="1" applyAlignment="1" applyProtection="1">
      <alignment horizontal="left" vertical="top"/>
      <protection locked="0"/>
    </xf>
    <xf numFmtId="169" fontId="1" fillId="0" borderId="13" xfId="3" applyNumberFormat="1" applyFont="1" applyFill="1" applyBorder="1" applyAlignment="1">
      <alignment horizontal="center" vertical="center" wrapText="1"/>
    </xf>
    <xf numFmtId="169" fontId="15" fillId="0" borderId="29" xfId="3" applyNumberFormat="1" applyFont="1" applyBorder="1" applyAlignment="1" applyProtection="1">
      <alignment horizontal="justify"/>
    </xf>
    <xf numFmtId="43" fontId="4" fillId="0" borderId="0" xfId="0" applyNumberFormat="1" applyFont="1" applyFill="1" applyAlignment="1">
      <alignment horizontal="center"/>
    </xf>
    <xf numFmtId="164" fontId="0" fillId="0" borderId="0" xfId="2" applyFont="1" applyFill="1" applyAlignment="1">
      <alignment horizontal="center"/>
    </xf>
    <xf numFmtId="164" fontId="16" fillId="6" borderId="13" xfId="0" applyNumberFormat="1" applyFont="1" applyFill="1" applyBorder="1" applyAlignment="1">
      <alignment horizontal="center"/>
    </xf>
    <xf numFmtId="164" fontId="56" fillId="6" borderId="13" xfId="0" applyNumberFormat="1" applyFont="1" applyFill="1" applyBorder="1" applyAlignment="1">
      <alignment horizontal="center"/>
    </xf>
    <xf numFmtId="169" fontId="7" fillId="0" borderId="13" xfId="3" applyNumberFormat="1" applyFont="1" applyFill="1" applyBorder="1" applyAlignment="1" applyProtection="1">
      <alignment horizontal="center" vertical="top"/>
      <protection locked="0"/>
    </xf>
    <xf numFmtId="0" fontId="4" fillId="0" borderId="0" xfId="0" applyFont="1" applyFill="1" applyAlignment="1">
      <alignment horizontal="center"/>
    </xf>
    <xf numFmtId="164" fontId="4" fillId="0" borderId="0" xfId="0" applyNumberFormat="1" applyFont="1" applyFill="1" applyAlignment="1">
      <alignment horizontal="center"/>
    </xf>
    <xf numFmtId="4" fontId="4" fillId="0" borderId="0" xfId="0" applyNumberFormat="1" applyFont="1" applyBorder="1"/>
    <xf numFmtId="169" fontId="7" fillId="0" borderId="0" xfId="3" applyNumberFormat="1" applyFont="1"/>
    <xf numFmtId="169" fontId="0" fillId="0" borderId="0" xfId="3" applyNumberFormat="1" applyFont="1" applyFill="1"/>
    <xf numFmtId="169" fontId="14" fillId="0" borderId="0" xfId="3" applyNumberFormat="1" applyFont="1" applyFill="1"/>
    <xf numFmtId="4" fontId="1" fillId="0" borderId="21" xfId="0" applyNumberFormat="1" applyFont="1" applyBorder="1" applyAlignment="1">
      <alignment vertical="top"/>
    </xf>
    <xf numFmtId="0" fontId="15" fillId="0" borderId="33" xfId="0" applyFont="1" applyFill="1" applyBorder="1" applyAlignment="1">
      <alignment horizontal="center"/>
    </xf>
    <xf numFmtId="0" fontId="7" fillId="0" borderId="29" xfId="0" applyFont="1" applyFill="1" applyBorder="1" applyAlignment="1" applyProtection="1">
      <alignment horizontal="left" vertical="top"/>
      <protection locked="0"/>
    </xf>
    <xf numFmtId="0" fontId="15" fillId="0" borderId="29" xfId="0" applyFont="1" applyBorder="1" applyAlignment="1">
      <alignment horizontal="center" vertical="justify"/>
    </xf>
    <xf numFmtId="170" fontId="20" fillId="0" borderId="0" xfId="3" applyNumberFormat="1" applyFont="1" applyFill="1"/>
    <xf numFmtId="169" fontId="4" fillId="0" borderId="0" xfId="3" applyNumberFormat="1" applyFont="1" applyFill="1" applyAlignment="1">
      <alignment horizontal="center"/>
    </xf>
    <xf numFmtId="169" fontId="58" fillId="12" borderId="0" xfId="3" applyNumberFormat="1" applyFont="1" applyFill="1" applyAlignment="1">
      <alignment horizontal="center"/>
    </xf>
    <xf numFmtId="169" fontId="1" fillId="0" borderId="0" xfId="3" applyNumberFormat="1" applyFont="1" applyFill="1"/>
    <xf numFmtId="169" fontId="1" fillId="0" borderId="13" xfId="3" applyNumberFormat="1" applyFont="1" applyFill="1" applyBorder="1" applyAlignment="1">
      <alignment vertical="center" wrapText="1"/>
    </xf>
    <xf numFmtId="169" fontId="1" fillId="0" borderId="6" xfId="3" applyNumberFormat="1" applyFont="1" applyFill="1" applyBorder="1" applyAlignment="1"/>
    <xf numFmtId="169" fontId="1" fillId="0" borderId="13" xfId="3" applyNumberFormat="1" applyFont="1" applyFill="1" applyBorder="1" applyAlignment="1"/>
    <xf numFmtId="172" fontId="0" fillId="0" borderId="13" xfId="0" applyNumberFormat="1" applyBorder="1" applyAlignment="1">
      <alignment horizontal="right"/>
    </xf>
    <xf numFmtId="172" fontId="0" fillId="0" borderId="13" xfId="0" applyNumberFormat="1" applyBorder="1" applyAlignment="1">
      <alignment horizontal="right" vertical="center" wrapText="1"/>
    </xf>
    <xf numFmtId="172" fontId="64" fillId="0" borderId="13" xfId="0" applyNumberFormat="1" applyFont="1" applyBorder="1" applyAlignment="1">
      <alignment horizontal="right"/>
    </xf>
    <xf numFmtId="172" fontId="0" fillId="0" borderId="3" xfId="0" applyNumberFormat="1" applyBorder="1" applyAlignment="1">
      <alignment horizontal="right"/>
    </xf>
    <xf numFmtId="172" fontId="0" fillId="0" borderId="6" xfId="0" applyNumberFormat="1" applyBorder="1" applyAlignment="1">
      <alignment horizontal="right" vertical="center" wrapText="1"/>
    </xf>
    <xf numFmtId="0" fontId="1" fillId="0" borderId="0" xfId="1" applyFont="1" applyBorder="1" applyAlignment="1" applyProtection="1">
      <alignment horizontal="justify"/>
    </xf>
    <xf numFmtId="173" fontId="20" fillId="0" borderId="0" xfId="3" applyNumberFormat="1" applyFont="1" applyFill="1"/>
    <xf numFmtId="0" fontId="5" fillId="0" borderId="0" xfId="0" applyFont="1" applyFill="1" applyBorder="1" applyAlignment="1" applyProtection="1">
      <alignment horizontal="center"/>
    </xf>
    <xf numFmtId="169" fontId="14" fillId="0" borderId="13" xfId="3" applyNumberFormat="1" applyFont="1" applyFill="1" applyBorder="1" applyAlignment="1">
      <alignment vertical="center" wrapText="1"/>
    </xf>
    <xf numFmtId="0" fontId="14" fillId="0" borderId="13" xfId="0" applyFont="1" applyFill="1" applyBorder="1" applyAlignment="1">
      <alignment vertical="center" wrapText="1"/>
    </xf>
    <xf numFmtId="172" fontId="66" fillId="0" borderId="13" xfId="0" applyNumberFormat="1" applyFont="1" applyBorder="1" applyAlignment="1">
      <alignment horizontal="right" vertical="center" wrapText="1"/>
    </xf>
    <xf numFmtId="171" fontId="14" fillId="0" borderId="13" xfId="0" applyNumberFormat="1" applyFont="1" applyFill="1" applyBorder="1"/>
    <xf numFmtId="4" fontId="67" fillId="0" borderId="0" xfId="0" applyNumberFormat="1" applyFont="1"/>
    <xf numFmtId="164" fontId="1" fillId="0" borderId="1" xfId="2" applyFont="1" applyFill="1" applyBorder="1"/>
    <xf numFmtId="0" fontId="0" fillId="6" borderId="0" xfId="0" applyFill="1"/>
    <xf numFmtId="169" fontId="0" fillId="6" borderId="0" xfId="3" applyNumberFormat="1" applyFont="1" applyFill="1"/>
    <xf numFmtId="43" fontId="0" fillId="6" borderId="0" xfId="0" applyNumberFormat="1" applyFill="1"/>
    <xf numFmtId="164" fontId="0" fillId="6" borderId="0" xfId="0" applyNumberFormat="1" applyFill="1"/>
    <xf numFmtId="174" fontId="20" fillId="0" borderId="0" xfId="2" applyNumberFormat="1" applyFont="1" applyFill="1"/>
    <xf numFmtId="164" fontId="15" fillId="13" borderId="13" xfId="2" applyFont="1" applyFill="1" applyBorder="1" applyAlignment="1">
      <alignment horizontal="center" vertical="justify"/>
    </xf>
    <xf numFmtId="164" fontId="0" fillId="0" borderId="0" xfId="2" applyFont="1" applyProtection="1"/>
    <xf numFmtId="164" fontId="0" fillId="6" borderId="1" xfId="2" applyFont="1" applyFill="1" applyBorder="1"/>
    <xf numFmtId="164" fontId="1" fillId="6" borderId="1" xfId="2" applyFont="1" applyFill="1" applyBorder="1"/>
    <xf numFmtId="174" fontId="0" fillId="0" borderId="0" xfId="2" applyNumberFormat="1" applyFont="1"/>
    <xf numFmtId="175" fontId="0" fillId="0" borderId="0" xfId="2" applyNumberFormat="1" applyFont="1"/>
    <xf numFmtId="43" fontId="4" fillId="0" borderId="12" xfId="0" applyNumberFormat="1" applyFont="1" applyBorder="1" applyAlignment="1">
      <alignment horizontal="right"/>
    </xf>
    <xf numFmtId="43" fontId="4" fillId="0" borderId="11" xfId="0" applyNumberFormat="1" applyFont="1" applyBorder="1" applyAlignment="1">
      <alignment horizontal="right"/>
    </xf>
    <xf numFmtId="43" fontId="4" fillId="0" borderId="23" xfId="0" applyNumberFormat="1" applyFont="1" applyBorder="1" applyAlignment="1">
      <alignment horizontal="right"/>
    </xf>
    <xf numFmtId="164" fontId="16" fillId="8" borderId="3" xfId="0" applyNumberFormat="1" applyFont="1" applyFill="1" applyBorder="1" applyAlignment="1">
      <alignment horizontal="center"/>
    </xf>
    <xf numFmtId="176" fontId="4" fillId="0" borderId="0" xfId="0" applyNumberFormat="1" applyFont="1" applyFill="1" applyAlignment="1">
      <alignment horizontal="center"/>
    </xf>
    <xf numFmtId="177" fontId="4" fillId="0" borderId="0" xfId="2" applyNumberFormat="1" applyFont="1" applyFill="1" applyAlignment="1">
      <alignment horizontal="center"/>
    </xf>
    <xf numFmtId="164" fontId="1" fillId="12" borderId="0" xfId="2" applyNumberFormat="1" applyFont="1" applyFill="1"/>
    <xf numFmtId="43" fontId="58" fillId="12" borderId="0" xfId="0" applyNumberFormat="1" applyFont="1" applyFill="1" applyAlignment="1">
      <alignment horizontal="center"/>
    </xf>
    <xf numFmtId="169" fontId="4" fillId="0" borderId="0" xfId="0" applyNumberFormat="1" applyFont="1" applyFill="1" applyAlignment="1">
      <alignment horizontal="center"/>
    </xf>
    <xf numFmtId="164" fontId="68" fillId="12" borderId="0" xfId="0" applyNumberFormat="1" applyFont="1" applyFill="1"/>
    <xf numFmtId="174" fontId="0" fillId="0" borderId="0" xfId="2" applyNumberFormat="1" applyFont="1" applyFill="1"/>
    <xf numFmtId="0" fontId="3" fillId="6" borderId="0" xfId="0" applyFont="1" applyFill="1"/>
    <xf numFmtId="164" fontId="3" fillId="6" borderId="0" xfId="0" applyNumberFormat="1" applyFont="1" applyFill="1"/>
    <xf numFmtId="164" fontId="54" fillId="6" borderId="0" xfId="2" applyFont="1" applyFill="1"/>
    <xf numFmtId="164" fontId="16" fillId="6" borderId="0" xfId="2" applyFont="1" applyFill="1"/>
    <xf numFmtId="4" fontId="62" fillId="6" borderId="0" xfId="0" applyNumberFormat="1" applyFont="1" applyFill="1"/>
    <xf numFmtId="164" fontId="56" fillId="8" borderId="13" xfId="0" applyNumberFormat="1" applyFont="1" applyFill="1" applyBorder="1" applyAlignment="1">
      <alignment horizontal="center"/>
    </xf>
    <xf numFmtId="164" fontId="0" fillId="6" borderId="0" xfId="2" applyFont="1" applyFill="1"/>
    <xf numFmtId="0" fontId="70" fillId="0" borderId="13" xfId="0" applyFont="1" applyBorder="1" applyAlignment="1">
      <alignment horizontal="center" vertical="center" wrapText="1"/>
    </xf>
    <xf numFmtId="0" fontId="70" fillId="0" borderId="13" xfId="0" applyFont="1" applyBorder="1" applyAlignment="1">
      <alignment horizontal="left" vertical="center" wrapText="1"/>
    </xf>
    <xf numFmtId="178" fontId="0" fillId="0" borderId="13" xfId="4" applyNumberFormat="1" applyFont="1" applyFill="1" applyBorder="1" applyAlignment="1">
      <alignment horizontal="center" vertical="center"/>
    </xf>
    <xf numFmtId="178" fontId="71" fillId="14" borderId="35" xfId="0" applyNumberFormat="1" applyFont="1" applyFill="1" applyBorder="1" applyAlignment="1">
      <alignment horizontal="right" vertical="center" wrapText="1"/>
    </xf>
    <xf numFmtId="178" fontId="63" fillId="0" borderId="13" xfId="0" applyNumberFormat="1" applyFont="1" applyBorder="1" applyAlignment="1">
      <alignment horizontal="center" vertical="center" wrapText="1"/>
    </xf>
    <xf numFmtId="178" fontId="0" fillId="0" borderId="13" xfId="0" applyNumberFormat="1" applyBorder="1" applyAlignment="1">
      <alignment horizontal="center" vertical="center"/>
    </xf>
    <xf numFmtId="175" fontId="20" fillId="0" borderId="0" xfId="2" applyNumberFormat="1" applyFont="1" applyFill="1"/>
    <xf numFmtId="12" fontId="65" fillId="6" borderId="0" xfId="0" applyNumberFormat="1" applyFont="1" applyFill="1" applyAlignment="1">
      <alignment vertical="justify"/>
    </xf>
    <xf numFmtId="43" fontId="7" fillId="0" borderId="0" xfId="0" applyNumberFormat="1" applyFont="1"/>
    <xf numFmtId="0" fontId="18" fillId="0" borderId="0" xfId="0" applyFont="1" applyAlignment="1">
      <alignment horizontal="center"/>
    </xf>
    <xf numFmtId="0" fontId="4" fillId="0" borderId="0" xfId="0" applyFont="1" applyAlignment="1">
      <alignment horizontal="center"/>
    </xf>
    <xf numFmtId="49" fontId="14" fillId="0" borderId="0" xfId="0" applyNumberFormat="1" applyFont="1" applyAlignment="1">
      <alignment horizontal="center"/>
    </xf>
    <xf numFmtId="4" fontId="14" fillId="0" borderId="0" xfId="0" applyNumberFormat="1" applyFont="1" applyAlignment="1">
      <alignment horizontal="center"/>
    </xf>
    <xf numFmtId="0" fontId="14" fillId="0" borderId="0" xfId="0" applyFont="1" applyAlignment="1">
      <alignment horizontal="left"/>
    </xf>
    <xf numFmtId="164" fontId="15" fillId="0" borderId="0" xfId="0" applyNumberFormat="1" applyFont="1"/>
    <xf numFmtId="43" fontId="14" fillId="0" borderId="0" xfId="0" applyNumberFormat="1" applyFont="1"/>
    <xf numFmtId="164" fontId="14" fillId="0" borderId="0" xfId="2" applyNumberFormat="1" applyFont="1"/>
    <xf numFmtId="0" fontId="14" fillId="0" borderId="1" xfId="5" applyFont="1" applyBorder="1" applyAlignment="1">
      <alignment horizontal="center"/>
    </xf>
    <xf numFmtId="0" fontId="14" fillId="0" borderId="0" xfId="5" applyFont="1" applyBorder="1"/>
    <xf numFmtId="49" fontId="14" fillId="0" borderId="0" xfId="5" applyNumberFormat="1" applyFont="1" applyBorder="1" applyAlignment="1">
      <alignment horizontal="center"/>
    </xf>
    <xf numFmtId="4" fontId="14" fillId="0" borderId="0" xfId="5" applyNumberFormat="1" applyFont="1" applyBorder="1"/>
    <xf numFmtId="0" fontId="14" fillId="0" borderId="0" xfId="5" applyFont="1" applyBorder="1" applyAlignment="1">
      <alignment horizontal="center"/>
    </xf>
    <xf numFmtId="4" fontId="14" fillId="0" borderId="1" xfId="5" applyNumberFormat="1" applyFont="1" applyBorder="1"/>
    <xf numFmtId="0" fontId="15" fillId="0" borderId="0" xfId="5" applyFont="1" applyBorder="1"/>
    <xf numFmtId="2" fontId="14" fillId="0" borderId="0" xfId="5" applyNumberFormat="1" applyFont="1" applyBorder="1" applyAlignment="1">
      <alignment horizontal="center"/>
    </xf>
    <xf numFmtId="0" fontId="14" fillId="0" borderId="0" xfId="5" applyFont="1" applyFill="1" applyBorder="1" applyAlignment="1">
      <alignment horizontal="center"/>
    </xf>
    <xf numFmtId="2" fontId="14" fillId="0" borderId="0" xfId="5" applyNumberFormat="1" applyFont="1" applyFill="1" applyBorder="1" applyAlignment="1">
      <alignment horizontal="center"/>
    </xf>
    <xf numFmtId="4" fontId="15" fillId="0" borderId="1" xfId="5" applyNumberFormat="1" applyFont="1" applyBorder="1"/>
    <xf numFmtId="43" fontId="14" fillId="0" borderId="0" xfId="6" applyFont="1" applyBorder="1"/>
    <xf numFmtId="4" fontId="14" fillId="6" borderId="1" xfId="5" applyNumberFormat="1" applyFont="1" applyFill="1" applyBorder="1"/>
    <xf numFmtId="0" fontId="1" fillId="0" borderId="0" xfId="5"/>
    <xf numFmtId="0" fontId="15" fillId="0" borderId="4" xfId="5" applyFont="1" applyBorder="1" applyAlignment="1">
      <alignment horizontal="center"/>
    </xf>
    <xf numFmtId="0" fontId="14" fillId="0" borderId="5" xfId="5" applyFont="1" applyBorder="1"/>
    <xf numFmtId="0" fontId="15" fillId="0" borderId="5" xfId="5" applyFont="1" applyBorder="1" applyAlignment="1">
      <alignment horizontal="center"/>
    </xf>
    <xf numFmtId="0" fontId="15" fillId="0" borderId="6" xfId="5" applyFont="1" applyBorder="1" applyAlignment="1">
      <alignment horizontal="center"/>
    </xf>
    <xf numFmtId="0" fontId="15" fillId="0" borderId="0" xfId="5" applyFont="1" applyBorder="1" applyAlignment="1">
      <alignment horizontal="center"/>
    </xf>
    <xf numFmtId="0" fontId="15" fillId="0" borderId="7" xfId="5" applyFont="1" applyBorder="1"/>
    <xf numFmtId="0" fontId="15" fillId="0" borderId="7" xfId="5" applyFont="1" applyBorder="1" applyAlignment="1">
      <alignment horizontal="center"/>
    </xf>
    <xf numFmtId="0" fontId="15" fillId="0" borderId="1" xfId="5" applyFont="1" applyBorder="1" applyAlignment="1">
      <alignment horizontal="center"/>
    </xf>
    <xf numFmtId="0" fontId="15" fillId="0" borderId="8" xfId="5" applyFont="1" applyBorder="1" applyAlignment="1">
      <alignment horizontal="center"/>
    </xf>
    <xf numFmtId="0" fontId="14" fillId="0" borderId="9" xfId="5" applyFont="1" applyBorder="1"/>
    <xf numFmtId="0" fontId="15" fillId="0" borderId="9" xfId="5" applyFont="1" applyBorder="1" applyAlignment="1">
      <alignment horizontal="center"/>
    </xf>
    <xf numFmtId="0" fontId="15" fillId="0" borderId="2" xfId="5" applyFont="1" applyBorder="1" applyAlignment="1">
      <alignment horizontal="center"/>
    </xf>
    <xf numFmtId="49" fontId="15" fillId="0" borderId="2" xfId="5" applyNumberFormat="1" applyFont="1" applyBorder="1" applyAlignment="1">
      <alignment horizontal="center"/>
    </xf>
    <xf numFmtId="0" fontId="14" fillId="0" borderId="6" xfId="5" applyFont="1" applyBorder="1" applyAlignment="1">
      <alignment horizontal="center"/>
    </xf>
    <xf numFmtId="0" fontId="14" fillId="0" borderId="4" xfId="5" applyFont="1" applyBorder="1"/>
    <xf numFmtId="49" fontId="14" fillId="0" borderId="4" xfId="5" applyNumberFormat="1" applyFont="1" applyBorder="1" applyAlignment="1">
      <alignment horizontal="center"/>
    </xf>
    <xf numFmtId="4" fontId="14" fillId="0" borderId="4" xfId="5" applyNumberFormat="1" applyFont="1" applyBorder="1"/>
    <xf numFmtId="0" fontId="14" fillId="0" borderId="4" xfId="5" applyFont="1" applyBorder="1" applyAlignment="1">
      <alignment horizontal="center"/>
    </xf>
    <xf numFmtId="4" fontId="14" fillId="0" borderId="6" xfId="5" applyNumberFormat="1" applyFont="1" applyBorder="1"/>
    <xf numFmtId="0" fontId="14" fillId="0" borderId="1" xfId="5" applyFont="1" applyBorder="1" applyAlignment="1">
      <alignment horizontal="center"/>
    </xf>
    <xf numFmtId="0" fontId="14" fillId="0" borderId="0" xfId="5" applyFont="1" applyBorder="1"/>
    <xf numFmtId="4" fontId="14" fillId="0" borderId="0" xfId="5" applyNumberFormat="1" applyFont="1" applyBorder="1"/>
    <xf numFmtId="0" fontId="14" fillId="0" borderId="0" xfId="5" applyFont="1" applyBorder="1" applyAlignment="1">
      <alignment horizontal="center"/>
    </xf>
    <xf numFmtId="4" fontId="14" fillId="0" borderId="1" xfId="5" applyNumberFormat="1" applyFont="1" applyBorder="1"/>
    <xf numFmtId="0" fontId="15" fillId="0" borderId="0" xfId="5" applyFont="1" applyBorder="1"/>
    <xf numFmtId="0" fontId="14" fillId="0" borderId="1" xfId="5" applyFont="1" applyFill="1" applyBorder="1" applyAlignment="1">
      <alignment horizontal="center"/>
    </xf>
    <xf numFmtId="0" fontId="14" fillId="0" borderId="0" xfId="5" applyFont="1" applyFill="1" applyBorder="1" applyAlignment="1">
      <alignment horizontal="center"/>
    </xf>
    <xf numFmtId="2" fontId="14" fillId="0" borderId="0" xfId="5" applyNumberFormat="1" applyFont="1" applyFill="1" applyBorder="1" applyAlignment="1">
      <alignment horizontal="center"/>
    </xf>
    <xf numFmtId="0" fontId="14" fillId="0" borderId="1" xfId="5" applyFont="1" applyBorder="1"/>
    <xf numFmtId="4" fontId="15" fillId="0" borderId="1" xfId="5" applyNumberFormat="1" applyFont="1" applyBorder="1"/>
    <xf numFmtId="0" fontId="15" fillId="0" borderId="0" xfId="5" applyFont="1"/>
    <xf numFmtId="0" fontId="14" fillId="0" borderId="7" xfId="5" applyFont="1" applyBorder="1"/>
    <xf numFmtId="0" fontId="15" fillId="0" borderId="10" xfId="5" applyFont="1" applyBorder="1" applyAlignment="1">
      <alignment horizontal="center"/>
    </xf>
    <xf numFmtId="0" fontId="15" fillId="0" borderId="11" xfId="5" applyFont="1" applyBorder="1"/>
    <xf numFmtId="0" fontId="14" fillId="0" borderId="11" xfId="5" applyFont="1" applyBorder="1"/>
    <xf numFmtId="0" fontId="14" fillId="0" borderId="12" xfId="5" applyFont="1" applyBorder="1"/>
    <xf numFmtId="0" fontId="5" fillId="0" borderId="0" xfId="5" applyFont="1"/>
    <xf numFmtId="0" fontId="15" fillId="0" borderId="13" xfId="5" applyFont="1" applyBorder="1"/>
    <xf numFmtId="0" fontId="14" fillId="0" borderId="13" xfId="5" applyFont="1" applyBorder="1"/>
    <xf numFmtId="0" fontId="14" fillId="0" borderId="0" xfId="5" applyFont="1" applyBorder="1" applyAlignment="1">
      <alignment horizontal="left"/>
    </xf>
    <xf numFmtId="4" fontId="14" fillId="0" borderId="0" xfId="5" applyNumberFormat="1" applyFont="1" applyBorder="1" applyAlignment="1">
      <alignment horizontal="center"/>
    </xf>
    <xf numFmtId="0" fontId="1" fillId="0" borderId="0" xfId="5" applyAlignment="1">
      <alignment horizontal="left"/>
    </xf>
    <xf numFmtId="0" fontId="18" fillId="0" borderId="0" xfId="5" applyFont="1" applyAlignment="1">
      <alignment horizontal="center"/>
    </xf>
    <xf numFmtId="0" fontId="3" fillId="0" borderId="0" xfId="5" applyFont="1" applyBorder="1"/>
    <xf numFmtId="43" fontId="14" fillId="0" borderId="0" xfId="5" applyNumberFormat="1" applyFont="1" applyBorder="1"/>
    <xf numFmtId="43" fontId="14" fillId="0" borderId="0" xfId="9" applyFont="1" applyBorder="1"/>
    <xf numFmtId="43" fontId="14" fillId="0" borderId="0" xfId="5" applyNumberFormat="1" applyFont="1"/>
    <xf numFmtId="43" fontId="14" fillId="0" borderId="1" xfId="5" applyNumberFormat="1" applyFont="1" applyBorder="1"/>
    <xf numFmtId="0" fontId="14" fillId="0" borderId="7" xfId="5" applyFont="1" applyBorder="1" applyAlignment="1">
      <alignment horizontal="center"/>
    </xf>
    <xf numFmtId="43" fontId="15" fillId="0" borderId="0" xfId="5" applyNumberFormat="1" applyFont="1" applyBorder="1"/>
    <xf numFmtId="0" fontId="14" fillId="0" borderId="0" xfId="5" applyFont="1" applyAlignment="1">
      <alignment horizontal="center"/>
    </xf>
    <xf numFmtId="0" fontId="14" fillId="0" borderId="25" xfId="5" applyFont="1" applyBorder="1" applyAlignment="1">
      <alignment horizontal="center"/>
    </xf>
    <xf numFmtId="15" fontId="1" fillId="0" borderId="0" xfId="5" applyNumberFormat="1" applyFont="1" applyAlignment="1">
      <alignment horizontal="left"/>
    </xf>
    <xf numFmtId="0" fontId="1" fillId="0" borderId="0" xfId="5"/>
    <xf numFmtId="0" fontId="51" fillId="0" borderId="0" xfId="5" applyFont="1" applyProtection="1"/>
    <xf numFmtId="0" fontId="1" fillId="0" borderId="0" xfId="5" applyProtection="1"/>
    <xf numFmtId="0" fontId="1" fillId="0" borderId="23" xfId="5" applyBorder="1" applyProtection="1"/>
    <xf numFmtId="0" fontId="1" fillId="0" borderId="0" xfId="5" applyBorder="1" applyProtection="1"/>
    <xf numFmtId="0" fontId="4" fillId="2" borderId="5" xfId="5" applyFont="1" applyFill="1" applyBorder="1" applyAlignment="1" applyProtection="1">
      <alignment horizontal="center"/>
    </xf>
    <xf numFmtId="0" fontId="4" fillId="0" borderId="0" xfId="5" applyFont="1" applyAlignment="1" applyProtection="1">
      <alignment horizontal="center" vertical="justify"/>
    </xf>
    <xf numFmtId="0" fontId="16" fillId="7" borderId="17" xfId="5" applyFont="1" applyFill="1" applyBorder="1" applyAlignment="1" applyProtection="1">
      <alignment horizontal="center" vertical="justify"/>
    </xf>
    <xf numFmtId="0" fontId="4" fillId="7" borderId="17" xfId="5" applyFont="1" applyFill="1" applyBorder="1" applyAlignment="1" applyProtection="1">
      <alignment horizontal="center" vertical="justify"/>
    </xf>
    <xf numFmtId="0" fontId="1" fillId="7" borderId="0" xfId="5" applyFill="1" applyProtection="1"/>
    <xf numFmtId="0" fontId="1" fillId="0" borderId="13" xfId="5" applyBorder="1" applyAlignment="1" applyProtection="1">
      <alignment horizontal="center"/>
      <protection locked="0"/>
    </xf>
    <xf numFmtId="0" fontId="1" fillId="2" borderId="13" xfId="5" applyFill="1" applyBorder="1" applyAlignment="1" applyProtection="1">
      <alignment horizontal="center"/>
    </xf>
    <xf numFmtId="0" fontId="1" fillId="0" borderId="0" xfId="5" applyAlignment="1" applyProtection="1">
      <alignment horizontal="center"/>
      <protection locked="0"/>
    </xf>
    <xf numFmtId="0" fontId="1" fillId="0" borderId="0" xfId="5" applyAlignment="1" applyProtection="1">
      <alignment horizontal="center"/>
    </xf>
    <xf numFmtId="0" fontId="1" fillId="0" borderId="13" xfId="5" applyFont="1" applyBorder="1" applyAlignment="1" applyProtection="1">
      <alignment horizontal="center"/>
      <protection locked="0"/>
    </xf>
    <xf numFmtId="0" fontId="1" fillId="0" borderId="0" xfId="5" applyFill="1" applyProtection="1"/>
    <xf numFmtId="0" fontId="5" fillId="0" borderId="23" xfId="5" applyFont="1" applyBorder="1" applyProtection="1"/>
    <xf numFmtId="0" fontId="5" fillId="0" borderId="10" xfId="5" applyFont="1" applyBorder="1" applyAlignment="1" applyProtection="1">
      <alignment horizontal="center"/>
    </xf>
    <xf numFmtId="0" fontId="5" fillId="0" borderId="47" xfId="5" applyFont="1" applyBorder="1" applyAlignment="1" applyProtection="1">
      <alignment horizontal="center"/>
    </xf>
    <xf numFmtId="0" fontId="5" fillId="2" borderId="11" xfId="5" applyFont="1" applyFill="1" applyBorder="1" applyAlignment="1" applyProtection="1">
      <alignment horizontal="center"/>
    </xf>
    <xf numFmtId="0" fontId="5" fillId="0" borderId="0" xfId="5" applyFont="1" applyAlignment="1" applyProtection="1">
      <alignment horizontal="center"/>
    </xf>
    <xf numFmtId="0" fontId="5" fillId="2" borderId="23" xfId="5" applyFont="1" applyFill="1" applyBorder="1" applyAlignment="1" applyProtection="1">
      <alignment horizontal="center"/>
    </xf>
    <xf numFmtId="0" fontId="4" fillId="0" borderId="17" xfId="5" applyFont="1" applyBorder="1" applyProtection="1"/>
    <xf numFmtId="0" fontId="4" fillId="0" borderId="11" xfId="5" applyFont="1" applyBorder="1" applyProtection="1"/>
    <xf numFmtId="0" fontId="4" fillId="0" borderId="12" xfId="5" applyFont="1" applyBorder="1" applyProtection="1"/>
    <xf numFmtId="0" fontId="4" fillId="0" borderId="0" xfId="5" applyFont="1" applyBorder="1" applyProtection="1"/>
    <xf numFmtId="0" fontId="1" fillId="0" borderId="11" xfId="5" applyBorder="1" applyProtection="1"/>
    <xf numFmtId="0" fontId="1" fillId="0" borderId="0" xfId="5" applyFont="1" applyFill="1" applyProtection="1"/>
    <xf numFmtId="0" fontId="1" fillId="0" borderId="0" xfId="5" applyProtection="1">
      <protection locked="0"/>
    </xf>
    <xf numFmtId="0" fontId="4" fillId="0" borderId="0" xfId="5" applyFont="1" applyProtection="1">
      <protection locked="0"/>
    </xf>
    <xf numFmtId="0" fontId="1" fillId="0" borderId="0" xfId="5" applyBorder="1" applyAlignment="1" applyProtection="1">
      <alignment horizontal="center"/>
      <protection locked="0"/>
    </xf>
    <xf numFmtId="0" fontId="59" fillId="8" borderId="0" xfId="0" applyFont="1" applyFill="1"/>
    <xf numFmtId="164" fontId="59" fillId="8" borderId="0" xfId="2" applyFont="1" applyFill="1"/>
    <xf numFmtId="4" fontId="59" fillId="8" borderId="0" xfId="0" applyNumberFormat="1" applyFont="1" applyFill="1"/>
    <xf numFmtId="49" fontId="59" fillId="8" borderId="0" xfId="0" applyNumberFormat="1" applyFont="1" applyFill="1"/>
    <xf numFmtId="0" fontId="72" fillId="8" borderId="0" xfId="0" applyFont="1" applyFill="1"/>
    <xf numFmtId="164" fontId="72" fillId="8" borderId="0" xfId="2" applyFont="1" applyFill="1"/>
    <xf numFmtId="49" fontId="72" fillId="8" borderId="0" xfId="0" applyNumberFormat="1" applyFont="1" applyFill="1"/>
    <xf numFmtId="0" fontId="14" fillId="6" borderId="1" xfId="5" applyFont="1" applyFill="1" applyBorder="1" applyAlignment="1">
      <alignment horizontal="center"/>
    </xf>
    <xf numFmtId="0" fontId="14" fillId="6" borderId="30" xfId="5" applyFont="1" applyFill="1" applyBorder="1" applyAlignment="1">
      <alignment horizontal="center"/>
    </xf>
    <xf numFmtId="0" fontId="29" fillId="0" borderId="0" xfId="0" applyFont="1" applyFill="1" applyAlignment="1">
      <alignment horizontal="center"/>
    </xf>
    <xf numFmtId="0" fontId="29" fillId="0" borderId="0" xfId="0" applyFont="1" applyFill="1" applyAlignment="1">
      <alignment horizontal="left"/>
    </xf>
    <xf numFmtId="0" fontId="21" fillId="0" borderId="0" xfId="0" applyFont="1" applyFill="1" applyAlignment="1">
      <alignment horizontal="center"/>
    </xf>
    <xf numFmtId="0" fontId="35" fillId="0" borderId="0" xfId="0" applyFont="1" applyAlignment="1">
      <alignment horizontal="center"/>
    </xf>
    <xf numFmtId="0" fontId="21" fillId="0" borderId="0" xfId="0" applyFont="1" applyAlignment="1">
      <alignment horizontal="center"/>
    </xf>
    <xf numFmtId="0" fontId="4" fillId="0" borderId="5" xfId="0" applyFont="1" applyFill="1" applyBorder="1" applyAlignment="1">
      <alignment horizontal="center"/>
    </xf>
    <xf numFmtId="0" fontId="4" fillId="0" borderId="33" xfId="0" applyFont="1" applyFill="1" applyBorder="1" applyAlignment="1">
      <alignment horizontal="center"/>
    </xf>
    <xf numFmtId="0" fontId="4" fillId="0" borderId="29" xfId="0" applyFont="1" applyFill="1" applyBorder="1" applyAlignment="1">
      <alignment horizontal="center"/>
    </xf>
    <xf numFmtId="0" fontId="4" fillId="0" borderId="0" xfId="0" applyFont="1" applyFill="1" applyAlignment="1">
      <alignment horizontal="center"/>
    </xf>
    <xf numFmtId="0" fontId="33" fillId="0" borderId="0" xfId="0" applyFont="1" applyFill="1" applyAlignment="1">
      <alignment horizontal="center"/>
    </xf>
    <xf numFmtId="0" fontId="4" fillId="0" borderId="13" xfId="0" applyFont="1" applyFill="1" applyBorder="1" applyAlignment="1">
      <alignment horizontal="center"/>
    </xf>
    <xf numFmtId="0" fontId="15" fillId="0" borderId="33" xfId="0" applyFont="1" applyFill="1" applyBorder="1" applyAlignment="1">
      <alignment horizontal="center"/>
    </xf>
    <xf numFmtId="0" fontId="1" fillId="0" borderId="3" xfId="0" applyFont="1" applyFill="1" applyBorder="1" applyAlignment="1" applyProtection="1">
      <alignment horizontal="left" vertical="top"/>
      <protection locked="0"/>
    </xf>
    <xf numFmtId="0" fontId="7" fillId="0" borderId="33" xfId="0" applyFont="1" applyFill="1" applyBorder="1" applyAlignment="1" applyProtection="1">
      <alignment horizontal="left" vertical="top"/>
      <protection locked="0"/>
    </xf>
    <xf numFmtId="0" fontId="7" fillId="0" borderId="29" xfId="0" applyFont="1" applyFill="1" applyBorder="1" applyAlignment="1" applyProtection="1">
      <alignment horizontal="left" vertical="top"/>
      <protection locked="0"/>
    </xf>
    <xf numFmtId="0" fontId="7" fillId="0" borderId="3" xfId="0" applyFont="1" applyFill="1" applyBorder="1" applyAlignment="1" applyProtection="1">
      <alignment horizontal="left" vertical="top"/>
      <protection locked="0"/>
    </xf>
    <xf numFmtId="0" fontId="15" fillId="0" borderId="29" xfId="0" applyFont="1" applyFill="1" applyBorder="1" applyAlignment="1">
      <alignment horizontal="center"/>
    </xf>
    <xf numFmtId="0" fontId="15" fillId="0" borderId="33" xfId="0" applyFont="1" applyBorder="1" applyAlignment="1">
      <alignment horizontal="center" vertical="justify"/>
    </xf>
    <xf numFmtId="0" fontId="15" fillId="0" borderId="29" xfId="0" applyFont="1" applyBorder="1" applyAlignment="1">
      <alignment horizontal="center" vertical="justify"/>
    </xf>
    <xf numFmtId="0" fontId="15" fillId="0" borderId="0" xfId="0" applyFont="1" applyFill="1" applyAlignment="1">
      <alignment horizontal="center"/>
    </xf>
    <xf numFmtId="0" fontId="34" fillId="0" borderId="0" xfId="0" applyFont="1" applyFill="1" applyAlignment="1">
      <alignment horizontal="center"/>
    </xf>
    <xf numFmtId="0" fontId="39" fillId="0" borderId="3" xfId="0" applyFont="1" applyFill="1" applyBorder="1" applyAlignment="1">
      <alignment horizontal="center"/>
    </xf>
    <xf numFmtId="0" fontId="39" fillId="0" borderId="33" xfId="0" applyFont="1" applyFill="1" applyBorder="1" applyAlignment="1">
      <alignment horizontal="center"/>
    </xf>
    <xf numFmtId="0" fontId="39" fillId="0" borderId="29" xfId="0" applyFont="1" applyFill="1" applyBorder="1" applyAlignment="1">
      <alignment horizontal="center"/>
    </xf>
    <xf numFmtId="0" fontId="39" fillId="0" borderId="0" xfId="0" applyFont="1" applyFill="1" applyAlignment="1">
      <alignment horizontal="center"/>
    </xf>
    <xf numFmtId="0" fontId="29" fillId="0" borderId="0" xfId="0" applyFont="1" applyAlignment="1">
      <alignment horizontal="center"/>
    </xf>
    <xf numFmtId="0" fontId="18" fillId="0" borderId="0" xfId="0" applyFont="1" applyAlignment="1">
      <alignment horizontal="center"/>
    </xf>
    <xf numFmtId="0" fontId="8" fillId="0" borderId="17" xfId="0" applyFont="1" applyBorder="1" applyAlignment="1">
      <alignment horizontal="center"/>
    </xf>
    <xf numFmtId="0" fontId="8" fillId="0" borderId="12" xfId="0" applyFont="1" applyBorder="1" applyAlignment="1">
      <alignment horizontal="center"/>
    </xf>
    <xf numFmtId="0" fontId="4" fillId="5" borderId="48" xfId="0" applyFont="1" applyFill="1" applyBorder="1" applyAlignment="1">
      <alignment horizontal="justify" vertical="center"/>
    </xf>
    <xf numFmtId="0" fontId="4" fillId="5" borderId="49" xfId="0" applyFont="1" applyFill="1" applyBorder="1" applyAlignment="1">
      <alignment horizontal="justify" vertical="center"/>
    </xf>
    <xf numFmtId="0" fontId="4" fillId="6" borderId="0" xfId="0" applyFont="1" applyFill="1" applyBorder="1" applyAlignment="1">
      <alignment horizontal="justify"/>
    </xf>
    <xf numFmtId="0" fontId="8" fillId="6" borderId="0" xfId="0" applyFont="1" applyFill="1" applyBorder="1" applyAlignment="1">
      <alignment horizontal="justify" vertical="top"/>
    </xf>
    <xf numFmtId="0" fontId="5" fillId="5" borderId="50" xfId="0" applyFont="1" applyFill="1" applyBorder="1" applyAlignment="1">
      <alignment horizontal="center"/>
    </xf>
    <xf numFmtId="0" fontId="5" fillId="5" borderId="51" xfId="0" applyFont="1" applyFill="1" applyBorder="1" applyAlignment="1">
      <alignment horizontal="center"/>
    </xf>
    <xf numFmtId="0" fontId="18" fillId="0" borderId="0" xfId="0" applyFont="1" applyFill="1" applyAlignment="1">
      <alignment horizontal="center"/>
    </xf>
    <xf numFmtId="0" fontId="16" fillId="0" borderId="13" xfId="0" applyFont="1" applyFill="1" applyBorder="1" applyAlignment="1">
      <alignment horizontal="center" vertical="top"/>
    </xf>
    <xf numFmtId="0" fontId="16" fillId="0" borderId="6" xfId="0" applyFont="1" applyFill="1" applyBorder="1" applyAlignment="1">
      <alignment horizontal="center" vertical="top"/>
    </xf>
    <xf numFmtId="0" fontId="16" fillId="0" borderId="13" xfId="0" applyFont="1" applyFill="1" applyBorder="1" applyAlignment="1">
      <alignment horizontal="center" vertical="justify"/>
    </xf>
    <xf numFmtId="49" fontId="16" fillId="0" borderId="13" xfId="0" applyNumberFormat="1" applyFont="1" applyFill="1" applyBorder="1" applyAlignment="1">
      <alignment horizontal="center" vertical="justify"/>
    </xf>
    <xf numFmtId="49" fontId="16" fillId="0" borderId="6" xfId="0" applyNumberFormat="1" applyFont="1" applyFill="1" applyBorder="1" applyAlignment="1">
      <alignment horizontal="center" vertical="justify"/>
    </xf>
    <xf numFmtId="0" fontId="10" fillId="0" borderId="0" xfId="0" applyFont="1" applyAlignment="1">
      <alignment horizontal="left" vertical="justify"/>
    </xf>
    <xf numFmtId="0" fontId="16" fillId="0" borderId="13" xfId="0" applyFont="1" applyFill="1" applyBorder="1" applyAlignment="1">
      <alignment horizontal="center"/>
    </xf>
    <xf numFmtId="0" fontId="16" fillId="0" borderId="6" xfId="0" applyFont="1" applyFill="1" applyBorder="1" applyAlignment="1">
      <alignment horizontal="center"/>
    </xf>
    <xf numFmtId="164" fontId="16" fillId="0" borderId="13" xfId="2" applyFont="1" applyFill="1" applyBorder="1" applyAlignment="1">
      <alignment horizontal="center"/>
    </xf>
    <xf numFmtId="164" fontId="16" fillId="0" borderId="6" xfId="2" applyFont="1" applyFill="1" applyBorder="1" applyAlignment="1">
      <alignment horizontal="center"/>
    </xf>
    <xf numFmtId="0" fontId="52" fillId="0" borderId="0" xfId="5" applyFont="1" applyAlignment="1" applyProtection="1">
      <alignment horizontal="left"/>
    </xf>
    <xf numFmtId="0" fontId="1" fillId="0" borderId="17" xfId="5" applyFont="1" applyFill="1" applyBorder="1" applyAlignment="1" applyProtection="1">
      <alignment horizontal="left" vertical="justify"/>
      <protection locked="0"/>
    </xf>
    <xf numFmtId="0" fontId="1" fillId="0" borderId="11" xfId="5" applyFont="1" applyFill="1" applyBorder="1" applyAlignment="1" applyProtection="1">
      <alignment horizontal="left" vertical="justify"/>
      <protection locked="0"/>
    </xf>
    <xf numFmtId="0" fontId="1" fillId="0" borderId="12" xfId="5" applyFont="1" applyFill="1" applyBorder="1" applyAlignment="1" applyProtection="1">
      <alignment horizontal="left" vertical="justify"/>
      <protection locked="0"/>
    </xf>
    <xf numFmtId="0" fontId="1" fillId="0" borderId="17" xfId="5" applyBorder="1" applyAlignment="1" applyProtection="1">
      <alignment horizontal="center"/>
      <protection locked="0"/>
    </xf>
    <xf numFmtId="0" fontId="1" fillId="0" borderId="11" xfId="5" applyBorder="1" applyAlignment="1" applyProtection="1">
      <alignment horizontal="center"/>
      <protection locked="0"/>
    </xf>
    <xf numFmtId="0" fontId="1" fillId="0" borderId="12" xfId="5" applyBorder="1" applyAlignment="1" applyProtection="1">
      <alignment horizontal="center"/>
      <protection locked="0"/>
    </xf>
    <xf numFmtId="14" fontId="1" fillId="0" borderId="17" xfId="5" applyNumberFormat="1" applyBorder="1" applyAlignment="1" applyProtection="1">
      <alignment horizontal="center"/>
      <protection locked="0"/>
    </xf>
    <xf numFmtId="0" fontId="4" fillId="7" borderId="27" xfId="5" applyFont="1" applyFill="1" applyBorder="1" applyAlignment="1" applyProtection="1">
      <alignment horizontal="center" vertical="center"/>
    </xf>
    <xf numFmtId="0" fontId="4" fillId="7" borderId="21" xfId="5" applyFont="1" applyFill="1" applyBorder="1" applyAlignment="1" applyProtection="1">
      <alignment horizontal="center" vertical="center"/>
    </xf>
    <xf numFmtId="0" fontId="4" fillId="7" borderId="27" xfId="5" applyFont="1" applyFill="1" applyBorder="1" applyAlignment="1" applyProtection="1">
      <alignment horizontal="justify" vertical="center"/>
    </xf>
    <xf numFmtId="0" fontId="4" fillId="7" borderId="21" xfId="5" applyFont="1" applyFill="1" applyBorder="1" applyAlignment="1" applyProtection="1">
      <alignment horizontal="justify" vertical="center"/>
    </xf>
    <xf numFmtId="0" fontId="4" fillId="7" borderId="27" xfId="5" applyFont="1" applyFill="1" applyBorder="1" applyAlignment="1" applyProtection="1">
      <alignment horizontal="center" vertical="justify"/>
    </xf>
    <xf numFmtId="0" fontId="4" fillId="7" borderId="21" xfId="5" applyFont="1" applyFill="1" applyBorder="1" applyAlignment="1" applyProtection="1">
      <alignment horizontal="center" vertical="justify"/>
    </xf>
    <xf numFmtId="0" fontId="16" fillId="2" borderId="27" xfId="5" applyFont="1" applyFill="1" applyBorder="1" applyAlignment="1" applyProtection="1">
      <alignment horizontal="center" vertical="justify"/>
    </xf>
    <xf numFmtId="0" fontId="16" fillId="2" borderId="21" xfId="5" applyFont="1" applyFill="1" applyBorder="1" applyAlignment="1" applyProtection="1">
      <alignment horizontal="center" vertical="justify"/>
    </xf>
    <xf numFmtId="0" fontId="4" fillId="2" borderId="52" xfId="5" applyFont="1" applyFill="1" applyBorder="1" applyAlignment="1" applyProtection="1">
      <alignment horizontal="center"/>
    </xf>
    <xf numFmtId="0" fontId="4" fillId="2" borderId="53" xfId="5" applyFont="1" applyFill="1" applyBorder="1" applyAlignment="1" applyProtection="1">
      <alignment horizontal="center"/>
    </xf>
    <xf numFmtId="0" fontId="4" fillId="2" borderId="54" xfId="5" applyFont="1" applyFill="1" applyBorder="1" applyAlignment="1" applyProtection="1">
      <alignment horizontal="center"/>
    </xf>
    <xf numFmtId="0" fontId="1" fillId="0" borderId="17" xfId="5" applyFont="1" applyBorder="1" applyAlignment="1" applyProtection="1">
      <alignment horizontal="left" vertical="top"/>
    </xf>
    <xf numFmtId="0" fontId="1" fillId="0" borderId="11" xfId="5" applyFont="1" applyBorder="1" applyAlignment="1" applyProtection="1">
      <alignment horizontal="left" vertical="top"/>
    </xf>
    <xf numFmtId="0" fontId="1" fillId="0" borderId="12" xfId="5" applyFont="1" applyBorder="1" applyAlignment="1" applyProtection="1">
      <alignment horizontal="left" vertical="top"/>
    </xf>
    <xf numFmtId="0" fontId="4" fillId="2" borderId="6" xfId="5" applyFont="1" applyFill="1" applyBorder="1" applyAlignment="1" applyProtection="1">
      <alignment horizontal="center"/>
    </xf>
    <xf numFmtId="0" fontId="4" fillId="7" borderId="11" xfId="5" applyFont="1" applyFill="1" applyBorder="1" applyAlignment="1" applyProtection="1">
      <alignment horizontal="center" vertical="justify"/>
    </xf>
    <xf numFmtId="0" fontId="16" fillId="0" borderId="17" xfId="0" applyFont="1" applyBorder="1" applyAlignment="1">
      <alignment horizontal="center"/>
    </xf>
    <xf numFmtId="0" fontId="16" fillId="0" borderId="12" xfId="0" applyFont="1" applyBorder="1" applyAlignment="1">
      <alignment horizontal="center"/>
    </xf>
    <xf numFmtId="0" fontId="15" fillId="0" borderId="6" xfId="0" applyFont="1" applyBorder="1" applyAlignment="1">
      <alignment horizontal="center" vertical="justify" wrapText="1"/>
    </xf>
    <xf numFmtId="0" fontId="15" fillId="0" borderId="1" xfId="0" applyFont="1" applyBorder="1" applyAlignment="1">
      <alignment horizontal="center" vertical="justify" wrapText="1"/>
    </xf>
    <xf numFmtId="0" fontId="15" fillId="0" borderId="2" xfId="0" applyFont="1" applyBorder="1" applyAlignment="1">
      <alignment horizontal="center" vertical="justify" wrapText="1"/>
    </xf>
    <xf numFmtId="0" fontId="14" fillId="0" borderId="3" xfId="0" applyFont="1" applyBorder="1" applyAlignment="1">
      <alignment horizontal="left"/>
    </xf>
    <xf numFmtId="0" fontId="14" fillId="0" borderId="33" xfId="0" applyFont="1" applyBorder="1" applyAlignment="1">
      <alignment horizontal="left"/>
    </xf>
    <xf numFmtId="0" fontId="14" fillId="0" borderId="29" xfId="0" applyFont="1" applyBorder="1" applyAlignment="1">
      <alignment horizontal="left"/>
    </xf>
    <xf numFmtId="4" fontId="14" fillId="0" borderId="3" xfId="0" applyNumberFormat="1" applyFont="1" applyBorder="1" applyAlignment="1">
      <alignment horizontal="center"/>
    </xf>
    <xf numFmtId="4" fontId="14" fillId="0" borderId="29" xfId="0" applyNumberFormat="1" applyFont="1" applyBorder="1" applyAlignment="1">
      <alignment horizontal="center"/>
    </xf>
    <xf numFmtId="0" fontId="15" fillId="0" borderId="3" xfId="0" applyFont="1" applyBorder="1" applyAlignment="1">
      <alignment horizontal="left"/>
    </xf>
    <xf numFmtId="0" fontId="15" fillId="0" borderId="33" xfId="0" applyFont="1" applyBorder="1" applyAlignment="1">
      <alignment horizontal="left"/>
    </xf>
    <xf numFmtId="0" fontId="15" fillId="0" borderId="29" xfId="0" applyFont="1" applyBorder="1" applyAlignment="1">
      <alignment horizontal="left"/>
    </xf>
    <xf numFmtId="4" fontId="15" fillId="0" borderId="3" xfId="5" applyNumberFormat="1" applyFont="1" applyBorder="1" applyAlignment="1">
      <alignment horizontal="right"/>
    </xf>
    <xf numFmtId="4" fontId="15" fillId="0" borderId="29" xfId="5" applyNumberFormat="1" applyFont="1" applyBorder="1" applyAlignment="1">
      <alignment horizontal="right"/>
    </xf>
    <xf numFmtId="43" fontId="15" fillId="0" borderId="2" xfId="8" applyFont="1" applyBorder="1" applyAlignment="1">
      <alignment horizontal="center"/>
    </xf>
    <xf numFmtId="4" fontId="15" fillId="0" borderId="3" xfId="0" applyNumberFormat="1" applyFont="1" applyBorder="1" applyAlignment="1">
      <alignment horizontal="center"/>
    </xf>
    <xf numFmtId="4" fontId="15" fillId="0" borderId="29" xfId="0" applyNumberFormat="1" applyFont="1" applyBorder="1" applyAlignment="1">
      <alignment horizontal="center"/>
    </xf>
    <xf numFmtId="0" fontId="0" fillId="0" borderId="1" xfId="0" applyBorder="1"/>
    <xf numFmtId="0" fontId="0" fillId="0" borderId="2" xfId="0" applyBorder="1"/>
    <xf numFmtId="0" fontId="14" fillId="0" borderId="2" xfId="0" applyFont="1" applyBorder="1" applyAlignment="1">
      <alignment horizontal="left"/>
    </xf>
    <xf numFmtId="4" fontId="14" fillId="0" borderId="13" xfId="0" applyNumberFormat="1" applyFont="1" applyBorder="1" applyAlignment="1">
      <alignment horizontal="center"/>
    </xf>
    <xf numFmtId="0" fontId="15" fillId="0" borderId="13" xfId="0" applyFont="1" applyBorder="1" applyAlignment="1">
      <alignment horizontal="left"/>
    </xf>
    <xf numFmtId="4" fontId="15" fillId="0" borderId="13" xfId="0" applyNumberFormat="1" applyFont="1" applyBorder="1" applyAlignment="1">
      <alignment horizontal="center"/>
    </xf>
    <xf numFmtId="164" fontId="15" fillId="0" borderId="2" xfId="2" applyFont="1" applyBorder="1" applyAlignment="1">
      <alignment horizontal="center"/>
    </xf>
    <xf numFmtId="4" fontId="15" fillId="0" borderId="3" xfId="0" applyNumberFormat="1" applyFont="1" applyBorder="1" applyAlignment="1">
      <alignment horizontal="right"/>
    </xf>
    <xf numFmtId="4" fontId="15" fillId="0" borderId="29" xfId="0" applyNumberFormat="1" applyFont="1" applyBorder="1" applyAlignment="1">
      <alignment horizontal="right"/>
    </xf>
    <xf numFmtId="4" fontId="14" fillId="0" borderId="2" xfId="0" applyNumberFormat="1" applyFont="1" applyBorder="1" applyAlignment="1">
      <alignment horizontal="center"/>
    </xf>
    <xf numFmtId="0" fontId="14" fillId="0" borderId="2" xfId="5" applyFont="1" applyBorder="1" applyAlignment="1">
      <alignment horizontal="left"/>
    </xf>
    <xf numFmtId="4" fontId="14" fillId="0" borderId="2" xfId="5" applyNumberFormat="1" applyFont="1" applyBorder="1" applyAlignment="1">
      <alignment horizontal="center"/>
    </xf>
    <xf numFmtId="4" fontId="14" fillId="0" borderId="13" xfId="5" applyNumberFormat="1" applyFont="1" applyBorder="1" applyAlignment="1">
      <alignment horizontal="center"/>
    </xf>
    <xf numFmtId="0" fontId="16" fillId="0" borderId="17" xfId="5" applyFont="1" applyBorder="1" applyAlignment="1">
      <alignment horizontal="center"/>
    </xf>
    <xf numFmtId="0" fontId="16" fillId="0" borderId="12" xfId="5" applyFont="1" applyBorder="1" applyAlignment="1">
      <alignment horizontal="center"/>
    </xf>
    <xf numFmtId="0" fontId="15" fillId="0" borderId="13" xfId="5" applyFont="1" applyBorder="1" applyAlignment="1">
      <alignment horizontal="left"/>
    </xf>
    <xf numFmtId="4" fontId="15" fillId="0" borderId="13" xfId="5" applyNumberFormat="1" applyFont="1" applyBorder="1" applyAlignment="1">
      <alignment horizontal="center"/>
    </xf>
    <xf numFmtId="0" fontId="18" fillId="0" borderId="0" xfId="5" applyFont="1" applyAlignment="1">
      <alignment horizontal="center"/>
    </xf>
    <xf numFmtId="0" fontId="15" fillId="0" borderId="6" xfId="5" applyFont="1" applyBorder="1" applyAlignment="1">
      <alignment horizontal="center" vertical="justify" wrapText="1"/>
    </xf>
    <xf numFmtId="0" fontId="1" fillId="0" borderId="1" xfId="5" applyBorder="1"/>
    <xf numFmtId="0" fontId="1" fillId="0" borderId="2" xfId="5" applyBorder="1"/>
    <xf numFmtId="43" fontId="15" fillId="0" borderId="2" xfId="9" applyFont="1" applyBorder="1" applyAlignment="1">
      <alignment horizontal="center"/>
    </xf>
    <xf numFmtId="0" fontId="15" fillId="0" borderId="13" xfId="5" applyFont="1" applyFill="1" applyBorder="1" applyAlignment="1">
      <alignment horizontal="left"/>
    </xf>
    <xf numFmtId="0" fontId="6" fillId="0" borderId="11" xfId="0" applyFont="1" applyBorder="1"/>
    <xf numFmtId="0" fontId="4" fillId="0" borderId="0" xfId="0" applyFont="1" applyAlignment="1">
      <alignment horizontal="center"/>
    </xf>
    <xf numFmtId="0" fontId="27" fillId="0" borderId="0" xfId="0" applyFont="1" applyAlignment="1">
      <alignment horizontal="center"/>
    </xf>
  </cellXfs>
  <cellStyles count="12">
    <cellStyle name="Hipervínculo" xfId="1" builtinId="8"/>
    <cellStyle name="Millares" xfId="2" builtinId="3"/>
    <cellStyle name="Millares [0]" xfId="3" builtinId="6"/>
    <cellStyle name="Millares [0] 2" xfId="7" xr:uid="{905C3BBB-78EC-4EC3-BDCC-250A0D7495A5}"/>
    <cellStyle name="Millares 2" xfId="6" xr:uid="{500E7476-F329-4BE7-A0AE-7332A9B38C36}"/>
    <cellStyle name="Millares 3" xfId="8" xr:uid="{A1BF3B5E-8851-476E-AD41-31D6A719D179}"/>
    <cellStyle name="Millares 4" xfId="9" xr:uid="{7EDF680D-1049-4610-9F93-0E40A86C0603}"/>
    <cellStyle name="Millares 5" xfId="10" xr:uid="{C09E5EC5-03C4-4BB2-AD68-474F1C291612}"/>
    <cellStyle name="Millares 6" xfId="11" xr:uid="{95FC2236-67C7-49B9-A573-3E43D7B90EB7}"/>
    <cellStyle name="Moneda [0]" xfId="4" builtinId="7"/>
    <cellStyle name="Normal" xfId="0" builtinId="0"/>
    <cellStyle name="Normal 2" xfId="5" xr:uid="{8E064AA3-8421-4FB6-8517-7DB14087EDF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en procesos sustantivos y de apoyo</a:t>
            </a:r>
          </a:p>
        </c:rich>
      </c:tx>
      <c:layout>
        <c:manualLayout>
          <c:xMode val="edge"/>
          <c:yMode val="edge"/>
          <c:x val="0.25050541451197317"/>
          <c:y val="4.4692737430167599E-2"/>
        </c:manualLayout>
      </c:layout>
      <c:overlay val="0"/>
      <c:spPr>
        <a:noFill/>
        <a:ln w="25400">
          <a:noFill/>
        </a:ln>
      </c:spPr>
    </c:title>
    <c:autoTitleDeleted val="0"/>
    <c:plotArea>
      <c:layout>
        <c:manualLayout>
          <c:layoutTarget val="inner"/>
          <c:xMode val="edge"/>
          <c:yMode val="edge"/>
          <c:x val="8.080824023090323E-2"/>
          <c:y val="0.3016759776536313"/>
          <c:w val="0.89091084854570812"/>
          <c:h val="0.38547486033519551"/>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numLit>
          </c:val>
          <c:extLst>
            <c:ext xmlns:c16="http://schemas.microsoft.com/office/drawing/2014/chart" uri="{C3380CC4-5D6E-409C-BE32-E72D297353CC}">
              <c16:uniqueId val="{00000000-D1C9-4EF0-8E00-BA0742278A6B}"/>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D1C9-4EF0-8E00-BA0742278A6B}"/>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3-D1C9-4EF0-8E00-BA0742278A6B}"/>
            </c:ext>
          </c:extLst>
        </c:ser>
        <c:dLbls>
          <c:showLegendKey val="0"/>
          <c:showVal val="0"/>
          <c:showCatName val="0"/>
          <c:showSerName val="0"/>
          <c:showPercent val="0"/>
          <c:showBubbleSize val="0"/>
        </c:dLbls>
        <c:gapWidth val="150"/>
        <c:axId val="461000648"/>
        <c:axId val="460997512"/>
      </c:barChart>
      <c:catAx>
        <c:axId val="461000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7512"/>
        <c:crosses val="autoZero"/>
        <c:auto val="1"/>
        <c:lblAlgn val="ctr"/>
        <c:lblOffset val="100"/>
        <c:tickLblSkip val="1"/>
        <c:tickMarkSkip val="1"/>
        <c:noMultiLvlLbl val="0"/>
      </c:catAx>
      <c:valAx>
        <c:axId val="460997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10006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s-CR"/>
              <a:t>Plazas fijas y especiales</a:t>
            </a:r>
          </a:p>
        </c:rich>
      </c:tx>
      <c:layout>
        <c:manualLayout>
          <c:xMode val="edge"/>
          <c:yMode val="edge"/>
          <c:x val="0.31117051290778852"/>
          <c:y val="4.072398190045249E-2"/>
        </c:manualLayout>
      </c:layout>
      <c:overlay val="0"/>
      <c:spPr>
        <a:noFill/>
        <a:ln w="25400">
          <a:noFill/>
        </a:ln>
      </c:spPr>
    </c:title>
    <c:autoTitleDeleted val="0"/>
    <c:plotArea>
      <c:layout>
        <c:manualLayout>
          <c:layoutTarget val="inner"/>
          <c:xMode val="edge"/>
          <c:yMode val="edge"/>
          <c:x val="0.10638311687468427"/>
          <c:y val="0.24886877828054299"/>
          <c:w val="0.85638409084120837"/>
          <c:h val="0.4977375565610859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sueldos para cargos fijos</c:v>
              </c:pt>
              <c:pt idx="1">
                <c:v>Plazas en servicios especiales</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0-36F3-407F-AB92-DCA7F0FBD20A}"/>
            </c:ext>
          </c:extLst>
        </c:ser>
        <c:dLbls>
          <c:showLegendKey val="0"/>
          <c:showVal val="0"/>
          <c:showCatName val="0"/>
          <c:showSerName val="0"/>
          <c:showPercent val="0"/>
          <c:showBubbleSize val="0"/>
        </c:dLbls>
        <c:gapWidth val="150"/>
        <c:axId val="460997904"/>
        <c:axId val="460999864"/>
      </c:barChart>
      <c:catAx>
        <c:axId val="46099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9864"/>
        <c:crosses val="autoZero"/>
        <c:auto val="1"/>
        <c:lblAlgn val="ctr"/>
        <c:lblOffset val="100"/>
        <c:tickLblSkip val="1"/>
        <c:tickMarkSkip val="1"/>
        <c:noMultiLvlLbl val="0"/>
      </c:catAx>
      <c:valAx>
        <c:axId val="4609998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79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según estructura programática</a:t>
            </a:r>
          </a:p>
        </c:rich>
      </c:tx>
      <c:layout>
        <c:manualLayout>
          <c:xMode val="edge"/>
          <c:yMode val="edge"/>
          <c:x val="0.2854251246117171"/>
          <c:y val="4.49438202247191E-2"/>
        </c:manualLayout>
      </c:layout>
      <c:overlay val="0"/>
      <c:spPr>
        <a:noFill/>
        <a:ln w="25400">
          <a:noFill/>
        </a:ln>
      </c:spPr>
    </c:title>
    <c:autoTitleDeleted val="0"/>
    <c:plotArea>
      <c:layout>
        <c:manualLayout>
          <c:layoutTarget val="inner"/>
          <c:xMode val="edge"/>
          <c:yMode val="edge"/>
          <c:x val="8.0971659919028341E-2"/>
          <c:y val="0.3033716187116472"/>
          <c:w val="0.89068825910931171"/>
          <c:h val="0.2921356328334380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numLit>
          </c:val>
          <c:extLst>
            <c:ext xmlns:c16="http://schemas.microsoft.com/office/drawing/2014/chart" uri="{C3380CC4-5D6E-409C-BE32-E72D297353CC}">
              <c16:uniqueId val="{00000000-7B08-4D7D-9657-4D174188D410}"/>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7B08-4D7D-9657-4D174188D410}"/>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pt idx="0">
                <c:v>11</c:v>
              </c:pt>
              <c:pt idx="1">
                <c:v>19</c:v>
              </c:pt>
              <c:pt idx="2">
                <c:v>12</c:v>
              </c:pt>
              <c:pt idx="3">
                <c:v>0</c:v>
              </c:pt>
              <c:pt idx="4">
                <c:v>42</c:v>
              </c:pt>
            </c:numLit>
          </c:val>
          <c:extLst>
            <c:ext xmlns:c16="http://schemas.microsoft.com/office/drawing/2014/chart" uri="{C3380CC4-5D6E-409C-BE32-E72D297353CC}">
              <c16:uniqueId val="{00000003-7B08-4D7D-9657-4D174188D410}"/>
            </c:ext>
          </c:extLst>
        </c:ser>
        <c:dLbls>
          <c:showLegendKey val="0"/>
          <c:showVal val="0"/>
          <c:showCatName val="0"/>
          <c:showSerName val="0"/>
          <c:showPercent val="0"/>
          <c:showBubbleSize val="0"/>
        </c:dLbls>
        <c:gapWidth val="150"/>
        <c:axId val="394983256"/>
        <c:axId val="394987960"/>
      </c:barChart>
      <c:catAx>
        <c:axId val="394983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CR"/>
          </a:p>
        </c:txPr>
        <c:crossAx val="394987960"/>
        <c:crosses val="autoZero"/>
        <c:auto val="1"/>
        <c:lblAlgn val="ctr"/>
        <c:lblOffset val="100"/>
        <c:tickLblSkip val="1"/>
        <c:tickMarkSkip val="1"/>
        <c:noMultiLvlLbl val="0"/>
      </c:catAx>
      <c:valAx>
        <c:axId val="3949879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949832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en procesos sustantivos y de apoyo</a:t>
            </a:r>
          </a:p>
        </c:rich>
      </c:tx>
      <c:layout>
        <c:manualLayout>
          <c:xMode val="edge"/>
          <c:yMode val="edge"/>
          <c:x val="0.25050541451197317"/>
          <c:y val="4.4692737430167599E-2"/>
        </c:manualLayout>
      </c:layout>
      <c:overlay val="0"/>
      <c:spPr>
        <a:noFill/>
        <a:ln w="25400">
          <a:noFill/>
        </a:ln>
      </c:spPr>
    </c:title>
    <c:autoTitleDeleted val="0"/>
    <c:plotArea>
      <c:layout>
        <c:manualLayout>
          <c:layoutTarget val="inner"/>
          <c:xMode val="edge"/>
          <c:yMode val="edge"/>
          <c:x val="8.080824023090323E-2"/>
          <c:y val="0.3016759776536313"/>
          <c:w val="0.89091084854570812"/>
          <c:h val="0.38547486033519551"/>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numLit>
          </c:val>
          <c:extLst>
            <c:ext xmlns:c16="http://schemas.microsoft.com/office/drawing/2014/chart" uri="{C3380CC4-5D6E-409C-BE32-E72D297353CC}">
              <c16:uniqueId val="{00000000-D265-4422-8685-1A083C9EC74C}"/>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D265-4422-8685-1A083C9EC74C}"/>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3-D265-4422-8685-1A083C9EC74C}"/>
            </c:ext>
          </c:extLst>
        </c:ser>
        <c:dLbls>
          <c:showLegendKey val="0"/>
          <c:showVal val="0"/>
          <c:showCatName val="0"/>
          <c:showSerName val="0"/>
          <c:showPercent val="0"/>
          <c:showBubbleSize val="0"/>
        </c:dLbls>
        <c:gapWidth val="150"/>
        <c:axId val="356091656"/>
        <c:axId val="356092048"/>
      </c:barChart>
      <c:catAx>
        <c:axId val="35609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92048"/>
        <c:crosses val="autoZero"/>
        <c:auto val="1"/>
        <c:lblAlgn val="ctr"/>
        <c:lblOffset val="100"/>
        <c:tickLblSkip val="1"/>
        <c:tickMarkSkip val="1"/>
        <c:noMultiLvlLbl val="0"/>
      </c:catAx>
      <c:valAx>
        <c:axId val="3560920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916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s-CR"/>
              <a:t>Plazas fijas y especiales</a:t>
            </a:r>
          </a:p>
        </c:rich>
      </c:tx>
      <c:layout>
        <c:manualLayout>
          <c:xMode val="edge"/>
          <c:yMode val="edge"/>
          <c:x val="0.31117051290778852"/>
          <c:y val="4.072398190045249E-2"/>
        </c:manualLayout>
      </c:layout>
      <c:overlay val="0"/>
      <c:spPr>
        <a:noFill/>
        <a:ln w="25400">
          <a:noFill/>
        </a:ln>
      </c:spPr>
    </c:title>
    <c:autoTitleDeleted val="0"/>
    <c:plotArea>
      <c:layout>
        <c:manualLayout>
          <c:layoutTarget val="inner"/>
          <c:xMode val="edge"/>
          <c:yMode val="edge"/>
          <c:x val="0.10638311687468427"/>
          <c:y val="0.24886877828054299"/>
          <c:w val="0.85638409084120837"/>
          <c:h val="0.4977375565610859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sueldos para cargos fijos</c:v>
              </c:pt>
              <c:pt idx="1">
                <c:v>Plazas en servicios especiales</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0-2AED-4FAC-A228-DB10E240C883}"/>
            </c:ext>
          </c:extLst>
        </c:ser>
        <c:dLbls>
          <c:showLegendKey val="0"/>
          <c:showVal val="0"/>
          <c:showCatName val="0"/>
          <c:showSerName val="0"/>
          <c:showPercent val="0"/>
          <c:showBubbleSize val="0"/>
        </c:dLbls>
        <c:gapWidth val="150"/>
        <c:axId val="356092440"/>
        <c:axId val="356084992"/>
      </c:barChart>
      <c:catAx>
        <c:axId val="356092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84992"/>
        <c:crosses val="autoZero"/>
        <c:auto val="1"/>
        <c:lblAlgn val="ctr"/>
        <c:lblOffset val="100"/>
        <c:tickLblSkip val="1"/>
        <c:tickMarkSkip val="1"/>
        <c:noMultiLvlLbl val="0"/>
      </c:catAx>
      <c:valAx>
        <c:axId val="3560849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924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según estructura programática</a:t>
            </a:r>
          </a:p>
        </c:rich>
      </c:tx>
      <c:layout>
        <c:manualLayout>
          <c:xMode val="edge"/>
          <c:yMode val="edge"/>
          <c:x val="0.2854251246117171"/>
          <c:y val="4.49438202247191E-2"/>
        </c:manualLayout>
      </c:layout>
      <c:overlay val="0"/>
      <c:spPr>
        <a:noFill/>
        <a:ln w="25400">
          <a:noFill/>
        </a:ln>
      </c:spPr>
    </c:title>
    <c:autoTitleDeleted val="0"/>
    <c:plotArea>
      <c:layout>
        <c:manualLayout>
          <c:layoutTarget val="inner"/>
          <c:xMode val="edge"/>
          <c:yMode val="edge"/>
          <c:x val="8.0971659919028341E-2"/>
          <c:y val="0.3033716187116472"/>
          <c:w val="0.89068825910931171"/>
          <c:h val="0.2921356328334380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numLit>
          </c:val>
          <c:extLst>
            <c:ext xmlns:c16="http://schemas.microsoft.com/office/drawing/2014/chart" uri="{C3380CC4-5D6E-409C-BE32-E72D297353CC}">
              <c16:uniqueId val="{00000000-98C3-4BDF-94EB-7351AA2676C3}"/>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98C3-4BDF-94EB-7351AA2676C3}"/>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pt idx="0">
                <c:v>11</c:v>
              </c:pt>
              <c:pt idx="1">
                <c:v>19</c:v>
              </c:pt>
              <c:pt idx="2">
                <c:v>12</c:v>
              </c:pt>
              <c:pt idx="3">
                <c:v>0</c:v>
              </c:pt>
              <c:pt idx="4">
                <c:v>42</c:v>
              </c:pt>
            </c:numLit>
          </c:val>
          <c:extLst>
            <c:ext xmlns:c16="http://schemas.microsoft.com/office/drawing/2014/chart" uri="{C3380CC4-5D6E-409C-BE32-E72D297353CC}">
              <c16:uniqueId val="{00000003-98C3-4BDF-94EB-7351AA2676C3}"/>
            </c:ext>
          </c:extLst>
        </c:ser>
        <c:dLbls>
          <c:showLegendKey val="0"/>
          <c:showVal val="0"/>
          <c:showCatName val="0"/>
          <c:showSerName val="0"/>
          <c:showPercent val="0"/>
          <c:showBubbleSize val="0"/>
        </c:dLbls>
        <c:gapWidth val="150"/>
        <c:axId val="356088520"/>
        <c:axId val="356089304"/>
      </c:barChart>
      <c:catAx>
        <c:axId val="35608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CR"/>
          </a:p>
        </c:txPr>
        <c:crossAx val="356089304"/>
        <c:crosses val="autoZero"/>
        <c:auto val="1"/>
        <c:lblAlgn val="ctr"/>
        <c:lblOffset val="100"/>
        <c:tickLblSkip val="1"/>
        <c:tickMarkSkip val="1"/>
        <c:noMultiLvlLbl val="0"/>
      </c:catAx>
      <c:valAx>
        <c:axId val="3560893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885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drawings/_rels/drawing6.xml.rels><?xml version="1.0" encoding="UTF-8" standalone="yes"?>
<Relationships xmlns="http://schemas.openxmlformats.org/package/2006/relationships"><Relationship Id="rId1" Type="http://schemas.openxmlformats.org/officeDocument/2006/relationships/hyperlink" Target="../../../../../Users/Users/CONTADOR/AppData/Roaming/Barley%20Presupuesto%202009/Barley-Nuevos%20Clasificadores%202006/Barley-Nuevos%20Clasificadores%202006/Barley-Nuevos%20Clasificadores%202006/TALLER%20SISTEMA%20PLAN%20PRESUPUESTO%20%202006%20(MUNICIPALIDADES)/Otros/Modelo%20para%20c&#225;lculo%20de%20recursos%20espec&#237;ficos%20y%20otros%20(Uso%20interno).xls" TargetMode="External"/></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0</xdr:rowOff>
    </xdr:to>
    <xdr:sp macro="" textlink="">
      <xdr:nvSpPr>
        <xdr:cNvPr id="663889" name="Rectangle 1">
          <a:extLst>
            <a:ext uri="{FF2B5EF4-FFF2-40B4-BE49-F238E27FC236}">
              <a16:creationId xmlns:a16="http://schemas.microsoft.com/office/drawing/2014/main" id="{00000000-0008-0000-0300-000051210A00}"/>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5</xdr:col>
      <xdr:colOff>0</xdr:colOff>
      <xdr:row>0</xdr:row>
      <xdr:rowOff>0</xdr:rowOff>
    </xdr:to>
    <xdr:sp macro="" textlink="">
      <xdr:nvSpPr>
        <xdr:cNvPr id="663890" name="Rectangle 2">
          <a:extLst>
            <a:ext uri="{FF2B5EF4-FFF2-40B4-BE49-F238E27FC236}">
              <a16:creationId xmlns:a16="http://schemas.microsoft.com/office/drawing/2014/main" id="{00000000-0008-0000-0300-000052210A00}"/>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419100</xdr:colOff>
      <xdr:row>0</xdr:row>
      <xdr:rowOff>0</xdr:rowOff>
    </xdr:to>
    <xdr:sp macro="" textlink="">
      <xdr:nvSpPr>
        <xdr:cNvPr id="367137" name="Rectangle 1">
          <a:extLst>
            <a:ext uri="{FF2B5EF4-FFF2-40B4-BE49-F238E27FC236}">
              <a16:creationId xmlns:a16="http://schemas.microsoft.com/office/drawing/2014/main" id="{00000000-0008-0000-0400-0000219A0500}"/>
            </a:ext>
          </a:extLst>
        </xdr:cNvPr>
        <xdr:cNvSpPr>
          <a:spLocks noChangeArrowheads="1"/>
        </xdr:cNvSpPr>
      </xdr:nvSpPr>
      <xdr:spPr bwMode="auto">
        <a:xfrm>
          <a:off x="0" y="0"/>
          <a:ext cx="9801225"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419100</xdr:colOff>
      <xdr:row>0</xdr:row>
      <xdr:rowOff>0</xdr:rowOff>
    </xdr:to>
    <xdr:sp macro="" textlink="">
      <xdr:nvSpPr>
        <xdr:cNvPr id="367138" name="Rectangle 2">
          <a:extLst>
            <a:ext uri="{FF2B5EF4-FFF2-40B4-BE49-F238E27FC236}">
              <a16:creationId xmlns:a16="http://schemas.microsoft.com/office/drawing/2014/main" id="{00000000-0008-0000-0400-0000229A0500}"/>
            </a:ext>
          </a:extLst>
        </xdr:cNvPr>
        <xdr:cNvSpPr>
          <a:spLocks noChangeArrowheads="1"/>
        </xdr:cNvSpPr>
      </xdr:nvSpPr>
      <xdr:spPr bwMode="auto">
        <a:xfrm>
          <a:off x="0" y="0"/>
          <a:ext cx="9801225"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sp macro="" textlink="">
      <xdr:nvSpPr>
        <xdr:cNvPr id="675477" name="Rectangle 1">
          <a:extLst>
            <a:ext uri="{FF2B5EF4-FFF2-40B4-BE49-F238E27FC236}">
              <a16:creationId xmlns:a16="http://schemas.microsoft.com/office/drawing/2014/main" id="{00000000-0008-0000-0500-0000954E0A00}"/>
            </a:ext>
          </a:extLst>
        </xdr:cNvPr>
        <xdr:cNvSpPr>
          <a:spLocks noChangeArrowheads="1"/>
        </xdr:cNvSpPr>
      </xdr:nvSpPr>
      <xdr:spPr bwMode="auto">
        <a:xfrm>
          <a:off x="0" y="0"/>
          <a:ext cx="57150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3</xdr:col>
      <xdr:colOff>0</xdr:colOff>
      <xdr:row>0</xdr:row>
      <xdr:rowOff>0</xdr:rowOff>
    </xdr:to>
    <xdr:sp macro="" textlink="">
      <xdr:nvSpPr>
        <xdr:cNvPr id="675478" name="Rectangle 2">
          <a:extLst>
            <a:ext uri="{FF2B5EF4-FFF2-40B4-BE49-F238E27FC236}">
              <a16:creationId xmlns:a16="http://schemas.microsoft.com/office/drawing/2014/main" id="{00000000-0008-0000-0500-0000964E0A00}"/>
            </a:ext>
          </a:extLst>
        </xdr:cNvPr>
        <xdr:cNvSpPr>
          <a:spLocks noChangeArrowheads="1"/>
        </xdr:cNvSpPr>
      </xdr:nvSpPr>
      <xdr:spPr bwMode="auto">
        <a:xfrm>
          <a:off x="0" y="0"/>
          <a:ext cx="57150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3</xdr:col>
      <xdr:colOff>0</xdr:colOff>
      <xdr:row>0</xdr:row>
      <xdr:rowOff>0</xdr:rowOff>
    </xdr:to>
    <xdr:sp macro="" textlink="">
      <xdr:nvSpPr>
        <xdr:cNvPr id="675479" name="Rectangle 5">
          <a:extLst>
            <a:ext uri="{FF2B5EF4-FFF2-40B4-BE49-F238E27FC236}">
              <a16:creationId xmlns:a16="http://schemas.microsoft.com/office/drawing/2014/main" id="{00000000-0008-0000-0500-0000974E0A00}"/>
            </a:ext>
          </a:extLst>
        </xdr:cNvPr>
        <xdr:cNvSpPr>
          <a:spLocks noChangeArrowheads="1"/>
        </xdr:cNvSpPr>
      </xdr:nvSpPr>
      <xdr:spPr bwMode="auto">
        <a:xfrm>
          <a:off x="0" y="0"/>
          <a:ext cx="57150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3</xdr:col>
      <xdr:colOff>0</xdr:colOff>
      <xdr:row>0</xdr:row>
      <xdr:rowOff>0</xdr:rowOff>
    </xdr:to>
    <xdr:sp macro="" textlink="">
      <xdr:nvSpPr>
        <xdr:cNvPr id="675480" name="Rectangle 6">
          <a:extLst>
            <a:ext uri="{FF2B5EF4-FFF2-40B4-BE49-F238E27FC236}">
              <a16:creationId xmlns:a16="http://schemas.microsoft.com/office/drawing/2014/main" id="{00000000-0008-0000-0500-0000984E0A00}"/>
            </a:ext>
          </a:extLst>
        </xdr:cNvPr>
        <xdr:cNvSpPr>
          <a:spLocks noChangeArrowheads="1"/>
        </xdr:cNvSpPr>
      </xdr:nvSpPr>
      <xdr:spPr bwMode="auto">
        <a:xfrm>
          <a:off x="0" y="0"/>
          <a:ext cx="57150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25</xdr:col>
      <xdr:colOff>0</xdr:colOff>
      <xdr:row>0</xdr:row>
      <xdr:rowOff>0</xdr:rowOff>
    </xdr:to>
    <xdr:sp macro="" textlink="">
      <xdr:nvSpPr>
        <xdr:cNvPr id="1062544" name="Rectangle 1">
          <a:extLst>
            <a:ext uri="{FF2B5EF4-FFF2-40B4-BE49-F238E27FC236}">
              <a16:creationId xmlns:a16="http://schemas.microsoft.com/office/drawing/2014/main" id="{00000000-0008-0000-0600-000090361000}"/>
            </a:ext>
          </a:extLst>
        </xdr:cNvPr>
        <xdr:cNvSpPr>
          <a:spLocks noChangeArrowheads="1"/>
        </xdr:cNvSpPr>
      </xdr:nvSpPr>
      <xdr:spPr bwMode="auto">
        <a:xfrm>
          <a:off x="190500" y="0"/>
          <a:ext cx="129921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25</xdr:col>
      <xdr:colOff>0</xdr:colOff>
      <xdr:row>0</xdr:row>
      <xdr:rowOff>0</xdr:rowOff>
    </xdr:to>
    <xdr:sp macro="" textlink="">
      <xdr:nvSpPr>
        <xdr:cNvPr id="1062545" name="Rectangle 2">
          <a:extLst>
            <a:ext uri="{FF2B5EF4-FFF2-40B4-BE49-F238E27FC236}">
              <a16:creationId xmlns:a16="http://schemas.microsoft.com/office/drawing/2014/main" id="{00000000-0008-0000-0600-000091361000}"/>
            </a:ext>
          </a:extLst>
        </xdr:cNvPr>
        <xdr:cNvSpPr>
          <a:spLocks noChangeArrowheads="1"/>
        </xdr:cNvSpPr>
      </xdr:nvSpPr>
      <xdr:spPr bwMode="auto">
        <a:xfrm>
          <a:off x="190500" y="0"/>
          <a:ext cx="129921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1062546" name="Rectangle 3">
          <a:extLst>
            <a:ext uri="{FF2B5EF4-FFF2-40B4-BE49-F238E27FC236}">
              <a16:creationId xmlns:a16="http://schemas.microsoft.com/office/drawing/2014/main" id="{00000000-0008-0000-0600-000092361000}"/>
            </a:ext>
          </a:extLst>
        </xdr:cNvPr>
        <xdr:cNvSpPr>
          <a:spLocks noChangeArrowheads="1"/>
        </xdr:cNvSpPr>
      </xdr:nvSpPr>
      <xdr:spPr bwMode="auto">
        <a:xfrm>
          <a:off x="190500" y="0"/>
          <a:ext cx="908685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1062547" name="Rectangle 4">
          <a:extLst>
            <a:ext uri="{FF2B5EF4-FFF2-40B4-BE49-F238E27FC236}">
              <a16:creationId xmlns:a16="http://schemas.microsoft.com/office/drawing/2014/main" id="{00000000-0008-0000-0600-000093361000}"/>
            </a:ext>
          </a:extLst>
        </xdr:cNvPr>
        <xdr:cNvSpPr>
          <a:spLocks noChangeArrowheads="1"/>
        </xdr:cNvSpPr>
      </xdr:nvSpPr>
      <xdr:spPr bwMode="auto">
        <a:xfrm>
          <a:off x="190500" y="0"/>
          <a:ext cx="908685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25</xdr:col>
      <xdr:colOff>0</xdr:colOff>
      <xdr:row>0</xdr:row>
      <xdr:rowOff>0</xdr:rowOff>
    </xdr:to>
    <xdr:sp macro="" textlink="">
      <xdr:nvSpPr>
        <xdr:cNvPr id="1062548" name="Rectangle 5">
          <a:extLst>
            <a:ext uri="{FF2B5EF4-FFF2-40B4-BE49-F238E27FC236}">
              <a16:creationId xmlns:a16="http://schemas.microsoft.com/office/drawing/2014/main" id="{00000000-0008-0000-0600-000094361000}"/>
            </a:ext>
          </a:extLst>
        </xdr:cNvPr>
        <xdr:cNvSpPr>
          <a:spLocks noChangeArrowheads="1"/>
        </xdr:cNvSpPr>
      </xdr:nvSpPr>
      <xdr:spPr bwMode="auto">
        <a:xfrm>
          <a:off x="190500" y="0"/>
          <a:ext cx="129921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25</xdr:col>
      <xdr:colOff>0</xdr:colOff>
      <xdr:row>0</xdr:row>
      <xdr:rowOff>0</xdr:rowOff>
    </xdr:to>
    <xdr:sp macro="" textlink="">
      <xdr:nvSpPr>
        <xdr:cNvPr id="1062549" name="Rectangle 6">
          <a:extLst>
            <a:ext uri="{FF2B5EF4-FFF2-40B4-BE49-F238E27FC236}">
              <a16:creationId xmlns:a16="http://schemas.microsoft.com/office/drawing/2014/main" id="{00000000-0008-0000-0600-000095361000}"/>
            </a:ext>
          </a:extLst>
        </xdr:cNvPr>
        <xdr:cNvSpPr>
          <a:spLocks noChangeArrowheads="1"/>
        </xdr:cNvSpPr>
      </xdr:nvSpPr>
      <xdr:spPr bwMode="auto">
        <a:xfrm>
          <a:off x="190500" y="0"/>
          <a:ext cx="129921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24</xdr:col>
      <xdr:colOff>0</xdr:colOff>
      <xdr:row>0</xdr:row>
      <xdr:rowOff>0</xdr:rowOff>
    </xdr:to>
    <xdr:sp macro="" textlink="">
      <xdr:nvSpPr>
        <xdr:cNvPr id="1062550" name="Rectangle 7">
          <a:extLst>
            <a:ext uri="{FF2B5EF4-FFF2-40B4-BE49-F238E27FC236}">
              <a16:creationId xmlns:a16="http://schemas.microsoft.com/office/drawing/2014/main" id="{00000000-0008-0000-0600-000096361000}"/>
            </a:ext>
          </a:extLst>
        </xdr:cNvPr>
        <xdr:cNvSpPr>
          <a:spLocks noChangeArrowheads="1"/>
        </xdr:cNvSpPr>
      </xdr:nvSpPr>
      <xdr:spPr bwMode="auto">
        <a:xfrm>
          <a:off x="190500" y="0"/>
          <a:ext cx="11915775"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24</xdr:col>
      <xdr:colOff>0</xdr:colOff>
      <xdr:row>0</xdr:row>
      <xdr:rowOff>0</xdr:rowOff>
    </xdr:to>
    <xdr:sp macro="" textlink="">
      <xdr:nvSpPr>
        <xdr:cNvPr id="1062551" name="Rectangle 8">
          <a:extLst>
            <a:ext uri="{FF2B5EF4-FFF2-40B4-BE49-F238E27FC236}">
              <a16:creationId xmlns:a16="http://schemas.microsoft.com/office/drawing/2014/main" id="{00000000-0008-0000-0600-000097361000}"/>
            </a:ext>
          </a:extLst>
        </xdr:cNvPr>
        <xdr:cNvSpPr>
          <a:spLocks noChangeArrowheads="1"/>
        </xdr:cNvSpPr>
      </xdr:nvSpPr>
      <xdr:spPr bwMode="auto">
        <a:xfrm>
          <a:off x="190500" y="0"/>
          <a:ext cx="11915775"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25</xdr:col>
      <xdr:colOff>0</xdr:colOff>
      <xdr:row>0</xdr:row>
      <xdr:rowOff>0</xdr:rowOff>
    </xdr:to>
    <xdr:sp macro="" textlink="">
      <xdr:nvSpPr>
        <xdr:cNvPr id="1062552" name="Rectangle 9">
          <a:extLst>
            <a:ext uri="{FF2B5EF4-FFF2-40B4-BE49-F238E27FC236}">
              <a16:creationId xmlns:a16="http://schemas.microsoft.com/office/drawing/2014/main" id="{00000000-0008-0000-0600-000098361000}"/>
            </a:ext>
          </a:extLst>
        </xdr:cNvPr>
        <xdr:cNvSpPr>
          <a:spLocks noChangeArrowheads="1"/>
        </xdr:cNvSpPr>
      </xdr:nvSpPr>
      <xdr:spPr bwMode="auto">
        <a:xfrm>
          <a:off x="190500" y="0"/>
          <a:ext cx="129921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25</xdr:col>
      <xdr:colOff>0</xdr:colOff>
      <xdr:row>0</xdr:row>
      <xdr:rowOff>0</xdr:rowOff>
    </xdr:to>
    <xdr:sp macro="" textlink="">
      <xdr:nvSpPr>
        <xdr:cNvPr id="1062553" name="Rectangle 10">
          <a:extLst>
            <a:ext uri="{FF2B5EF4-FFF2-40B4-BE49-F238E27FC236}">
              <a16:creationId xmlns:a16="http://schemas.microsoft.com/office/drawing/2014/main" id="{00000000-0008-0000-0600-000099361000}"/>
            </a:ext>
          </a:extLst>
        </xdr:cNvPr>
        <xdr:cNvSpPr>
          <a:spLocks noChangeArrowheads="1"/>
        </xdr:cNvSpPr>
      </xdr:nvSpPr>
      <xdr:spPr bwMode="auto">
        <a:xfrm>
          <a:off x="190500" y="0"/>
          <a:ext cx="129921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1062554" name="Rectangle 11">
          <a:extLst>
            <a:ext uri="{FF2B5EF4-FFF2-40B4-BE49-F238E27FC236}">
              <a16:creationId xmlns:a16="http://schemas.microsoft.com/office/drawing/2014/main" id="{00000000-0008-0000-0600-00009A361000}"/>
            </a:ext>
          </a:extLst>
        </xdr:cNvPr>
        <xdr:cNvSpPr>
          <a:spLocks noChangeArrowheads="1"/>
        </xdr:cNvSpPr>
      </xdr:nvSpPr>
      <xdr:spPr bwMode="auto">
        <a:xfrm>
          <a:off x="190500" y="0"/>
          <a:ext cx="908685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1062555" name="Rectangle 12">
          <a:extLst>
            <a:ext uri="{FF2B5EF4-FFF2-40B4-BE49-F238E27FC236}">
              <a16:creationId xmlns:a16="http://schemas.microsoft.com/office/drawing/2014/main" id="{00000000-0008-0000-0600-00009B361000}"/>
            </a:ext>
          </a:extLst>
        </xdr:cNvPr>
        <xdr:cNvSpPr>
          <a:spLocks noChangeArrowheads="1"/>
        </xdr:cNvSpPr>
      </xdr:nvSpPr>
      <xdr:spPr bwMode="auto">
        <a:xfrm>
          <a:off x="190500" y="0"/>
          <a:ext cx="908685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25</xdr:col>
      <xdr:colOff>0</xdr:colOff>
      <xdr:row>0</xdr:row>
      <xdr:rowOff>0</xdr:rowOff>
    </xdr:to>
    <xdr:sp macro="" textlink="">
      <xdr:nvSpPr>
        <xdr:cNvPr id="1062556" name="Rectangle 13">
          <a:extLst>
            <a:ext uri="{FF2B5EF4-FFF2-40B4-BE49-F238E27FC236}">
              <a16:creationId xmlns:a16="http://schemas.microsoft.com/office/drawing/2014/main" id="{00000000-0008-0000-0600-00009C361000}"/>
            </a:ext>
          </a:extLst>
        </xdr:cNvPr>
        <xdr:cNvSpPr>
          <a:spLocks noChangeArrowheads="1"/>
        </xdr:cNvSpPr>
      </xdr:nvSpPr>
      <xdr:spPr bwMode="auto">
        <a:xfrm>
          <a:off x="190500" y="0"/>
          <a:ext cx="129921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25</xdr:col>
      <xdr:colOff>0</xdr:colOff>
      <xdr:row>0</xdr:row>
      <xdr:rowOff>0</xdr:rowOff>
    </xdr:to>
    <xdr:sp macro="" textlink="">
      <xdr:nvSpPr>
        <xdr:cNvPr id="1062557" name="Rectangle 14">
          <a:extLst>
            <a:ext uri="{FF2B5EF4-FFF2-40B4-BE49-F238E27FC236}">
              <a16:creationId xmlns:a16="http://schemas.microsoft.com/office/drawing/2014/main" id="{00000000-0008-0000-0600-00009D361000}"/>
            </a:ext>
          </a:extLst>
        </xdr:cNvPr>
        <xdr:cNvSpPr>
          <a:spLocks noChangeArrowheads="1"/>
        </xdr:cNvSpPr>
      </xdr:nvSpPr>
      <xdr:spPr bwMode="auto">
        <a:xfrm>
          <a:off x="190500" y="0"/>
          <a:ext cx="129921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24</xdr:col>
      <xdr:colOff>0</xdr:colOff>
      <xdr:row>0</xdr:row>
      <xdr:rowOff>0</xdr:rowOff>
    </xdr:to>
    <xdr:sp macro="" textlink="">
      <xdr:nvSpPr>
        <xdr:cNvPr id="1062558" name="Rectangle 15">
          <a:extLst>
            <a:ext uri="{FF2B5EF4-FFF2-40B4-BE49-F238E27FC236}">
              <a16:creationId xmlns:a16="http://schemas.microsoft.com/office/drawing/2014/main" id="{00000000-0008-0000-0600-00009E361000}"/>
            </a:ext>
          </a:extLst>
        </xdr:cNvPr>
        <xdr:cNvSpPr>
          <a:spLocks noChangeArrowheads="1"/>
        </xdr:cNvSpPr>
      </xdr:nvSpPr>
      <xdr:spPr bwMode="auto">
        <a:xfrm>
          <a:off x="190500" y="0"/>
          <a:ext cx="11915775"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24</xdr:col>
      <xdr:colOff>0</xdr:colOff>
      <xdr:row>0</xdr:row>
      <xdr:rowOff>0</xdr:rowOff>
    </xdr:to>
    <xdr:sp macro="" textlink="">
      <xdr:nvSpPr>
        <xdr:cNvPr id="1062559" name="Rectangle 16">
          <a:extLst>
            <a:ext uri="{FF2B5EF4-FFF2-40B4-BE49-F238E27FC236}">
              <a16:creationId xmlns:a16="http://schemas.microsoft.com/office/drawing/2014/main" id="{00000000-0008-0000-0600-00009F361000}"/>
            </a:ext>
          </a:extLst>
        </xdr:cNvPr>
        <xdr:cNvSpPr>
          <a:spLocks noChangeArrowheads="1"/>
        </xdr:cNvSpPr>
      </xdr:nvSpPr>
      <xdr:spPr bwMode="auto">
        <a:xfrm>
          <a:off x="190500" y="0"/>
          <a:ext cx="11915775"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0</xdr:rowOff>
    </xdr:to>
    <xdr:sp macro="" textlink="">
      <xdr:nvSpPr>
        <xdr:cNvPr id="676171" name="Rectangle 1">
          <a:extLst>
            <a:ext uri="{FF2B5EF4-FFF2-40B4-BE49-F238E27FC236}">
              <a16:creationId xmlns:a16="http://schemas.microsoft.com/office/drawing/2014/main" id="{00000000-0008-0000-0800-00004B510A00}"/>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5</xdr:col>
      <xdr:colOff>0</xdr:colOff>
      <xdr:row>0</xdr:row>
      <xdr:rowOff>0</xdr:rowOff>
    </xdr:to>
    <xdr:sp macro="" textlink="">
      <xdr:nvSpPr>
        <xdr:cNvPr id="676172" name="Rectangle 2">
          <a:extLst>
            <a:ext uri="{FF2B5EF4-FFF2-40B4-BE49-F238E27FC236}">
              <a16:creationId xmlns:a16="http://schemas.microsoft.com/office/drawing/2014/main" id="{00000000-0008-0000-0800-00004C510A00}"/>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52910" name="Oval 1">
          <a:hlinkClick xmlns:r="http://schemas.openxmlformats.org/officeDocument/2006/relationships" r:id="rId1"/>
          <a:extLst>
            <a:ext uri="{FF2B5EF4-FFF2-40B4-BE49-F238E27FC236}">
              <a16:creationId xmlns:a16="http://schemas.microsoft.com/office/drawing/2014/main" id="{00000000-0008-0000-0E00-0000AECE0000}"/>
            </a:ext>
          </a:extLst>
        </xdr:cNvPr>
        <xdr:cNvSpPr>
          <a:spLocks noChangeArrowheads="1"/>
        </xdr:cNvSpPr>
      </xdr:nvSpPr>
      <xdr:spPr bwMode="auto">
        <a:xfrm>
          <a:off x="0" y="0"/>
          <a:ext cx="0" cy="0"/>
        </a:xfrm>
        <a:prstGeom prst="ellipse">
          <a:avLst/>
        </a:prstGeom>
        <a:solidFill>
          <a:srgbClr val="FFFF99"/>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238125</xdr:colOff>
      <xdr:row>31</xdr:row>
      <xdr:rowOff>38100</xdr:rowOff>
    </xdr:from>
    <xdr:to>
      <xdr:col>13</xdr:col>
      <xdr:colOff>209550</xdr:colOff>
      <xdr:row>41</xdr:row>
      <xdr:rowOff>123825</xdr:rowOff>
    </xdr:to>
    <xdr:graphicFrame macro="">
      <xdr:nvGraphicFramePr>
        <xdr:cNvPr id="1107024" name="Chart 8">
          <a:extLst>
            <a:ext uri="{FF2B5EF4-FFF2-40B4-BE49-F238E27FC236}">
              <a16:creationId xmlns:a16="http://schemas.microsoft.com/office/drawing/2014/main" id="{00000000-0008-0000-0F00-000050E4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19050</xdr:rowOff>
    </xdr:from>
    <xdr:to>
      <xdr:col>4</xdr:col>
      <xdr:colOff>180975</xdr:colOff>
      <xdr:row>47</xdr:row>
      <xdr:rowOff>19050</xdr:rowOff>
    </xdr:to>
    <xdr:graphicFrame macro="">
      <xdr:nvGraphicFramePr>
        <xdr:cNvPr id="1107025" name="Chart 17">
          <a:extLst>
            <a:ext uri="{FF2B5EF4-FFF2-40B4-BE49-F238E27FC236}">
              <a16:creationId xmlns:a16="http://schemas.microsoft.com/office/drawing/2014/main" id="{00000000-0008-0000-0F00-000051E4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247650</xdr:colOff>
      <xdr:row>42</xdr:row>
      <xdr:rowOff>0</xdr:rowOff>
    </xdr:from>
    <xdr:to>
      <xdr:col>13</xdr:col>
      <xdr:colOff>209550</xdr:colOff>
      <xdr:row>52</xdr:row>
      <xdr:rowOff>76200</xdr:rowOff>
    </xdr:to>
    <xdr:graphicFrame macro="">
      <xdr:nvGraphicFramePr>
        <xdr:cNvPr id="1107026" name="Chart 19">
          <a:extLst>
            <a:ext uri="{FF2B5EF4-FFF2-40B4-BE49-F238E27FC236}">
              <a16:creationId xmlns:a16="http://schemas.microsoft.com/office/drawing/2014/main" id="{00000000-0008-0000-0F00-000052E4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238125</xdr:colOff>
      <xdr:row>31</xdr:row>
      <xdr:rowOff>38100</xdr:rowOff>
    </xdr:from>
    <xdr:to>
      <xdr:col>13</xdr:col>
      <xdr:colOff>209550</xdr:colOff>
      <xdr:row>41</xdr:row>
      <xdr:rowOff>123825</xdr:rowOff>
    </xdr:to>
    <xdr:graphicFrame macro="">
      <xdr:nvGraphicFramePr>
        <xdr:cNvPr id="5" name="Chart 8">
          <a:extLst>
            <a:ext uri="{FF2B5EF4-FFF2-40B4-BE49-F238E27FC236}">
              <a16:creationId xmlns:a16="http://schemas.microsoft.com/office/drawing/2014/main" id="{4ABA756D-03B9-4D48-8A62-ED743FAC2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34</xdr:row>
      <xdr:rowOff>19050</xdr:rowOff>
    </xdr:from>
    <xdr:to>
      <xdr:col>4</xdr:col>
      <xdr:colOff>180975</xdr:colOff>
      <xdr:row>47</xdr:row>
      <xdr:rowOff>19050</xdr:rowOff>
    </xdr:to>
    <xdr:graphicFrame macro="">
      <xdr:nvGraphicFramePr>
        <xdr:cNvPr id="6" name="Chart 17">
          <a:extLst>
            <a:ext uri="{FF2B5EF4-FFF2-40B4-BE49-F238E27FC236}">
              <a16:creationId xmlns:a16="http://schemas.microsoft.com/office/drawing/2014/main" id="{FE8028BD-B654-469B-9808-78437563C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247650</xdr:colOff>
      <xdr:row>42</xdr:row>
      <xdr:rowOff>0</xdr:rowOff>
    </xdr:from>
    <xdr:to>
      <xdr:col>13</xdr:col>
      <xdr:colOff>209550</xdr:colOff>
      <xdr:row>52</xdr:row>
      <xdr:rowOff>76200</xdr:rowOff>
    </xdr:to>
    <xdr:graphicFrame macro="">
      <xdr:nvGraphicFramePr>
        <xdr:cNvPr id="7" name="Chart 19">
          <a:extLst>
            <a:ext uri="{FF2B5EF4-FFF2-40B4-BE49-F238E27FC236}">
              <a16:creationId xmlns:a16="http://schemas.microsoft.com/office/drawing/2014/main" id="{C4FE6A79-CCDF-4DC2-9F1E-FEFBEC79C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cion%20de%20Ingresos%2020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espaldo/PAO%202021%2081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Municipalidad\Municipalidad\Hacienda%20Municipal\Presupuesto\Presupuesto%202020\Presupuesto%20Ordinario%202020\Presupuesto%202020\Documentacion%20de%20respaldo\Remuneraciones%20PI%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muneraciones%20ordinarias%202021%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cuadros-documentos-presupuestari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Municipalidad\Municipalidad\Hacienda%20Municipal\Presupuesto\Presupuesto%202020\Presupuesto%20Ordinario%202020\Presupuesto%202020\Documentacion%20de%20respaldo\Presupuesto%202019%20Ian\Calculos\Remuneraciones%20ordinaria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muneraciones%20ordinarias%202021%20R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uadros%20de%20%20Presupuesto%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ECUDI%20LOS%20CHILES/Downloads/Remuneraciones%20ordinarias%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spaldo/PInicial%202021%20Harol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Leonardo%20Cordero%20H\Desktop\MUNI%20LOS%20CHILES\1.%20KEYLOR\2021\PRESUPUESTO\PInicia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lle"/>
      <sheetName val="Variacion "/>
      <sheetName val="Proyeccion Recoleccion "/>
    </sheetNames>
    <sheetDataSet>
      <sheetData sheetId="0">
        <row r="10">
          <cell r="G10">
            <v>368000000</v>
          </cell>
        </row>
        <row r="12">
          <cell r="G12">
            <v>17000000</v>
          </cell>
        </row>
        <row r="14">
          <cell r="G14">
            <v>12000000</v>
          </cell>
        </row>
        <row r="15">
          <cell r="G15">
            <v>36000</v>
          </cell>
        </row>
        <row r="16">
          <cell r="G16">
            <v>126000</v>
          </cell>
        </row>
        <row r="17">
          <cell r="G17">
            <v>89000000</v>
          </cell>
        </row>
        <row r="18">
          <cell r="G18">
            <v>745000</v>
          </cell>
        </row>
        <row r="19">
          <cell r="G19">
            <v>35400000</v>
          </cell>
        </row>
        <row r="20">
          <cell r="G20">
            <v>2000000</v>
          </cell>
        </row>
        <row r="21">
          <cell r="G21">
            <v>4750000</v>
          </cell>
        </row>
        <row r="22">
          <cell r="G22">
            <v>6300000</v>
          </cell>
        </row>
        <row r="23">
          <cell r="G23">
            <v>73200000</v>
          </cell>
        </row>
        <row r="24">
          <cell r="G24">
            <v>23300000</v>
          </cell>
        </row>
        <row r="25">
          <cell r="G25">
            <v>9564000</v>
          </cell>
        </row>
        <row r="26">
          <cell r="G26">
            <v>12747000</v>
          </cell>
        </row>
        <row r="27">
          <cell r="G27">
            <v>12766000</v>
          </cell>
        </row>
        <row r="28">
          <cell r="G28">
            <v>7685000</v>
          </cell>
        </row>
        <row r="29">
          <cell r="G29">
            <v>17600000</v>
          </cell>
        </row>
        <row r="30">
          <cell r="G30">
            <v>47000000</v>
          </cell>
        </row>
        <row r="32">
          <cell r="G32">
            <v>3000000</v>
          </cell>
        </row>
        <row r="33">
          <cell r="G33">
            <v>400000</v>
          </cell>
        </row>
        <row r="34">
          <cell r="G34">
            <v>1273000</v>
          </cell>
        </row>
        <row r="36">
          <cell r="G36">
            <v>48000000</v>
          </cell>
        </row>
        <row r="37">
          <cell r="G37">
            <v>3733000</v>
          </cell>
        </row>
        <row r="38">
          <cell r="G38">
            <v>16000000</v>
          </cell>
        </row>
      </sheetData>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cion Porgrama III Meta1"/>
      <sheetName val="Proyectos"/>
    </sheetNames>
    <sheetDataSet>
      <sheetData sheetId="0"/>
      <sheetData sheetId="1">
        <row r="2">
          <cell r="I2" t="str">
            <v/>
          </cell>
          <cell r="J2">
            <v>68051887.400000006</v>
          </cell>
          <cell r="P2" t="str">
            <v/>
          </cell>
        </row>
        <row r="3">
          <cell r="I3" t="str">
            <v/>
          </cell>
          <cell r="J3" t="str">
            <v/>
          </cell>
          <cell r="P3">
            <v>42500000</v>
          </cell>
        </row>
        <row r="4">
          <cell r="I4" t="str">
            <v/>
          </cell>
          <cell r="J4" t="str">
            <v/>
          </cell>
          <cell r="P4">
            <v>30000000</v>
          </cell>
        </row>
        <row r="5">
          <cell r="I5" t="str">
            <v/>
          </cell>
          <cell r="J5" t="str">
            <v/>
          </cell>
          <cell r="P5">
            <v>54000000</v>
          </cell>
        </row>
        <row r="6">
          <cell r="I6" t="str">
            <v/>
          </cell>
          <cell r="J6">
            <v>27408218.690000001</v>
          </cell>
          <cell r="P6" t="str">
            <v/>
          </cell>
        </row>
        <row r="7">
          <cell r="I7" t="str">
            <v/>
          </cell>
          <cell r="J7" t="str">
            <v/>
          </cell>
          <cell r="P7">
            <v>5000000</v>
          </cell>
        </row>
        <row r="8">
          <cell r="I8" t="str">
            <v/>
          </cell>
          <cell r="J8" t="str">
            <v/>
          </cell>
          <cell r="P8">
            <v>20000000</v>
          </cell>
        </row>
        <row r="9">
          <cell r="I9" t="str">
            <v/>
          </cell>
          <cell r="J9" t="str">
            <v/>
          </cell>
          <cell r="P9">
            <v>28900000</v>
          </cell>
        </row>
        <row r="10">
          <cell r="I10" t="str">
            <v/>
          </cell>
          <cell r="J10" t="str">
            <v/>
          </cell>
          <cell r="P10">
            <v>25000000</v>
          </cell>
        </row>
        <row r="11">
          <cell r="I11" t="str">
            <v/>
          </cell>
          <cell r="J11" t="str">
            <v/>
          </cell>
          <cell r="P11">
            <v>25000000</v>
          </cell>
        </row>
        <row r="12">
          <cell r="I12" t="str">
            <v/>
          </cell>
          <cell r="J12" t="str">
            <v/>
          </cell>
          <cell r="P12">
            <v>28700000</v>
          </cell>
        </row>
        <row r="13">
          <cell r="I13">
            <v>1010444.4444444445</v>
          </cell>
          <cell r="J13">
            <v>3489555.5555555555</v>
          </cell>
          <cell r="P13" t="str">
            <v/>
          </cell>
        </row>
        <row r="14">
          <cell r="I14">
            <v>3462731.8518518526</v>
          </cell>
          <cell r="J14">
            <v>17568000</v>
          </cell>
          <cell r="P14">
            <v>78969268.148148149</v>
          </cell>
        </row>
        <row r="15">
          <cell r="I15" t="str">
            <v/>
          </cell>
          <cell r="J15" t="str">
            <v/>
          </cell>
          <cell r="P15">
            <v>70000000</v>
          </cell>
        </row>
        <row r="16">
          <cell r="I16">
            <v>4598740.7407407407</v>
          </cell>
          <cell r="J16">
            <v>7401259.2592592593</v>
          </cell>
          <cell r="P16" t="str">
            <v/>
          </cell>
        </row>
        <row r="17">
          <cell r="I17">
            <v>19403629.629629631</v>
          </cell>
          <cell r="J17">
            <v>62596370.370370373</v>
          </cell>
          <cell r="P17" t="str">
            <v/>
          </cell>
        </row>
        <row r="18">
          <cell r="I18">
            <v>4568814.8148148144</v>
          </cell>
          <cell r="J18">
            <v>15431185.185185187</v>
          </cell>
          <cell r="P18" t="str">
            <v/>
          </cell>
        </row>
        <row r="19">
          <cell r="I19" t="str">
            <v/>
          </cell>
          <cell r="J19" t="str">
            <v/>
          </cell>
          <cell r="P19">
            <v>126000000</v>
          </cell>
        </row>
        <row r="20">
          <cell r="I20">
            <v>3724666.666666667</v>
          </cell>
          <cell r="J20">
            <v>5275333.333333333</v>
          </cell>
          <cell r="P20" t="str">
            <v/>
          </cell>
        </row>
        <row r="21">
          <cell r="I21">
            <v>7738518.5185185187</v>
          </cell>
          <cell r="J21">
            <v>22261481.481481481</v>
          </cell>
          <cell r="P21" t="str">
            <v/>
          </cell>
        </row>
        <row r="22">
          <cell r="I22">
            <v>3143777.7777777775</v>
          </cell>
          <cell r="J22">
            <v>4856222.222222222</v>
          </cell>
          <cell r="P22" t="str">
            <v/>
          </cell>
        </row>
        <row r="23">
          <cell r="I23" t="str">
            <v/>
          </cell>
          <cell r="J23" t="str">
            <v/>
          </cell>
          <cell r="P23">
            <v>50000000</v>
          </cell>
        </row>
        <row r="24">
          <cell r="I24" t="str">
            <v/>
          </cell>
          <cell r="J24" t="str">
            <v/>
          </cell>
          <cell r="P24">
            <v>25000000</v>
          </cell>
        </row>
        <row r="25">
          <cell r="I25">
            <v>4602222.222222222</v>
          </cell>
          <cell r="J25">
            <v>15397777.777777778</v>
          </cell>
          <cell r="P25" t="str">
            <v/>
          </cell>
        </row>
        <row r="26">
          <cell r="I26" t="str">
            <v/>
          </cell>
          <cell r="J26" t="str">
            <v/>
          </cell>
          <cell r="P26">
            <v>23000000</v>
          </cell>
        </row>
        <row r="27">
          <cell r="I27" t="str">
            <v/>
          </cell>
          <cell r="J27" t="str">
            <v/>
          </cell>
          <cell r="P27">
            <v>40000000</v>
          </cell>
        </row>
        <row r="28">
          <cell r="I28">
            <v>6183333.333333334</v>
          </cell>
          <cell r="J28">
            <v>19816666.666666664</v>
          </cell>
          <cell r="P28" t="str">
            <v/>
          </cell>
        </row>
        <row r="29">
          <cell r="I29" t="str">
            <v/>
          </cell>
          <cell r="J29" t="str">
            <v/>
          </cell>
          <cell r="P29">
            <v>10000000</v>
          </cell>
        </row>
        <row r="30">
          <cell r="I30">
            <v>1527259.2592592593</v>
          </cell>
          <cell r="J30">
            <v>5472740.7407407407</v>
          </cell>
          <cell r="P30" t="str">
            <v/>
          </cell>
        </row>
        <row r="31">
          <cell r="I31">
            <v>4975185.1851851847</v>
          </cell>
          <cell r="J31">
            <v>18024814.814814813</v>
          </cell>
          <cell r="P31" t="str">
            <v/>
          </cell>
        </row>
        <row r="32">
          <cell r="I32" t="str">
            <v/>
          </cell>
          <cell r="J32" t="str">
            <v/>
          </cell>
          <cell r="P32">
            <v>20000000</v>
          </cell>
        </row>
        <row r="33">
          <cell r="I33">
            <v>1133851.8518518517</v>
          </cell>
          <cell r="J33">
            <v>3866148.1481481483</v>
          </cell>
          <cell r="P33" t="str">
            <v/>
          </cell>
        </row>
        <row r="34">
          <cell r="I34">
            <v>1167259.2592592593</v>
          </cell>
          <cell r="J34">
            <v>3832740.7407407407</v>
          </cell>
          <cell r="P34" t="str">
            <v/>
          </cell>
        </row>
        <row r="35">
          <cell r="I35">
            <v>8003777.777777778</v>
          </cell>
          <cell r="J35">
            <v>26996222.222222224</v>
          </cell>
          <cell r="P35" t="str">
            <v/>
          </cell>
        </row>
        <row r="36">
          <cell r="I36">
            <v>9137629.6296296287</v>
          </cell>
          <cell r="J36">
            <v>30862370.370370373</v>
          </cell>
          <cell r="P36" t="str">
            <v/>
          </cell>
        </row>
        <row r="37">
          <cell r="I37">
            <v>2167481.4814814818</v>
          </cell>
          <cell r="J37">
            <v>7832518.5185185187</v>
          </cell>
          <cell r="P37" t="str">
            <v/>
          </cell>
        </row>
        <row r="38">
          <cell r="I38">
            <v>475148.68301481492</v>
          </cell>
          <cell r="J38">
            <v>1793372.8069851852</v>
          </cell>
          <cell r="P38" t="str">
            <v/>
          </cell>
        </row>
        <row r="39">
          <cell r="I39">
            <v>685222.22222222225</v>
          </cell>
          <cell r="J39">
            <v>2564777.777777778</v>
          </cell>
          <cell r="P39" t="str">
            <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etalle General + % aumento"/>
      <sheetName val="DGV"/>
      <sheetName val="Otros Calculos"/>
      <sheetName val="Resumen"/>
      <sheetName val="Aumento"/>
    </sheetNames>
    <sheetDataSet>
      <sheetData sheetId="0">
        <row r="10">
          <cell r="K10">
            <v>671321.83652849996</v>
          </cell>
          <cell r="N10">
            <v>886144.82421761996</v>
          </cell>
        </row>
      </sheetData>
      <sheetData sheetId="1">
        <row r="7">
          <cell r="B7">
            <v>126268164.97786519</v>
          </cell>
        </row>
      </sheetData>
      <sheetData sheetId="2">
        <row r="38">
          <cell r="Z38">
            <v>51073797.589348093</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etalle General + % aumento"/>
      <sheetName val="DGV"/>
      <sheetName val="Otros Calculos"/>
      <sheetName val="Resumen"/>
      <sheetName val="Aumento"/>
    </sheetNames>
    <sheetDataSet>
      <sheetData sheetId="0" refreshError="1">
        <row r="10">
          <cell r="O10">
            <v>681822.55489378492</v>
          </cell>
        </row>
        <row r="67">
          <cell r="O67">
            <v>325249.91210387426</v>
          </cell>
        </row>
        <row r="68">
          <cell r="O68">
            <v>364508.58959299029</v>
          </cell>
        </row>
        <row r="69">
          <cell r="O69">
            <v>364508.69611751859</v>
          </cell>
        </row>
      </sheetData>
      <sheetData sheetId="1" refreshError="1">
        <row r="7">
          <cell r="B7">
            <v>136688213.69398576</v>
          </cell>
          <cell r="D7">
            <v>6641482.8509759838</v>
          </cell>
          <cell r="E7">
            <v>38706838.812658623</v>
          </cell>
          <cell r="F7">
            <v>34159307.380777292</v>
          </cell>
        </row>
        <row r="8">
          <cell r="B8">
            <v>8427326.7784871813</v>
          </cell>
          <cell r="D8">
            <v>749095.713643305</v>
          </cell>
          <cell r="E8">
            <v>3270995.3759309142</v>
          </cell>
          <cell r="F8">
            <v>5477762.4060166683</v>
          </cell>
        </row>
        <row r="9">
          <cell r="D9">
            <v>603013.3370405829</v>
          </cell>
        </row>
        <row r="10">
          <cell r="B10">
            <v>30933404.292084649</v>
          </cell>
          <cell r="D10">
            <v>2234426.9242312</v>
          </cell>
          <cell r="E10">
            <v>13053075.409441411</v>
          </cell>
        </row>
        <row r="11">
          <cell r="D11">
            <v>402008.89136038854</v>
          </cell>
        </row>
        <row r="12">
          <cell r="B12">
            <v>4020088.913603886</v>
          </cell>
          <cell r="D12">
            <v>0</v>
          </cell>
        </row>
        <row r="13">
          <cell r="D13">
            <v>0</v>
          </cell>
        </row>
        <row r="14">
          <cell r="B14">
            <v>7045942.289075952</v>
          </cell>
          <cell r="C14"/>
          <cell r="D14">
            <v>352297.11445379758</v>
          </cell>
          <cell r="E14">
            <v>1264869.1395832191</v>
          </cell>
          <cell r="F14">
            <v>2818376.9156303806</v>
          </cell>
        </row>
        <row r="15">
          <cell r="C15">
            <v>4505326.1673693601</v>
          </cell>
        </row>
        <row r="16">
          <cell r="B16">
            <v>50864174.040558062</v>
          </cell>
          <cell r="C16">
            <v>4505327.4840125302</v>
          </cell>
          <cell r="D16">
            <v>2920997.2710136552</v>
          </cell>
          <cell r="E16">
            <v>12808288.783917975</v>
          </cell>
          <cell r="F16">
            <v>6189307.6270252541</v>
          </cell>
        </row>
        <row r="17">
          <cell r="B17">
            <v>4505327.4840125302</v>
          </cell>
          <cell r="D17">
            <v>225266.37420062651</v>
          </cell>
          <cell r="E17">
            <v>763495.08301209274</v>
          </cell>
        </row>
      </sheetData>
      <sheetData sheetId="2" refreshError="1">
        <row r="34">
          <cell r="AD34">
            <v>47794117.562890507</v>
          </cell>
          <cell r="AE34">
            <v>121358686.0578389</v>
          </cell>
          <cell r="AF34">
            <v>9000057.7245979626</v>
          </cell>
        </row>
        <row r="38">
          <cell r="AD38">
            <v>49227941.089777224</v>
          </cell>
          <cell r="AE38">
            <v>124999446.63957407</v>
          </cell>
          <cell r="AF38">
            <v>9270059.4563359022</v>
          </cell>
          <cell r="AG38">
            <v>8602597.6939169522</v>
          </cell>
        </row>
        <row r="43">
          <cell r="O43">
            <v>381434.43168136972</v>
          </cell>
        </row>
        <row r="46">
          <cell r="AE46">
            <v>73945380.860176429</v>
          </cell>
        </row>
        <row r="53">
          <cell r="AE53">
            <v>76163742.285981715</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 OyA"/>
      <sheetName val="Cuadro 2 RH"/>
      <sheetName val="Cuadro 3 SA"/>
      <sheetName val="Cuadro 4 Deudas"/>
      <sheetName val="Cuadro 5 Transf"/>
      <sheetName val="Cuadro 6 Aprt especie"/>
      <sheetName val="Cuadro 7-Dietas"/>
      <sheetName val="Cuadro 8 Contribuc patro "/>
      <sheetName val="Cuadro 9 -Incentivos sala"/>
      <sheetName val="CCSS X PROGRAMA"/>
    </sheetNames>
    <sheetDataSet>
      <sheetData sheetId="0" refreshError="1"/>
      <sheetData sheetId="1" refreshError="1"/>
      <sheetData sheetId="2" refreshError="1"/>
      <sheetData sheetId="3" refreshError="1"/>
      <sheetData sheetId="4" refreshError="1"/>
      <sheetData sheetId="5" refreshError="1"/>
      <sheetData sheetId="6">
        <row r="19">
          <cell r="G19">
            <v>15504000</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etalle General + % aumento"/>
      <sheetName val="DGV"/>
      <sheetName val="Otros Calculos"/>
      <sheetName val="Resumen"/>
      <sheetName val="Aumento"/>
    </sheetNames>
    <sheetDataSet>
      <sheetData sheetId="0" refreshError="1"/>
      <sheetData sheetId="1" refreshError="1">
        <row r="7">
          <cell r="B7">
            <v>125610999.97622542</v>
          </cell>
        </row>
        <row r="10">
          <cell r="E10">
            <v>0</v>
          </cell>
        </row>
        <row r="11">
          <cell r="B11">
            <v>0</v>
          </cell>
          <cell r="D11">
            <v>0</v>
          </cell>
          <cell r="E11">
            <v>0</v>
          </cell>
        </row>
      </sheetData>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etalle General + % aumento"/>
      <sheetName val="DGV"/>
      <sheetName val="Otros Calculos"/>
      <sheetName val="Resumen"/>
      <sheetName val="Aumento"/>
    </sheetNames>
    <sheetDataSet>
      <sheetData sheetId="0"/>
      <sheetData sheetId="1">
        <row r="9">
          <cell r="C9">
            <v>8040177.8272077711</v>
          </cell>
        </row>
        <row r="11">
          <cell r="C11">
            <v>12060266.740811655</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greso Interno"/>
      <sheetName val="Ingreso Contraloría"/>
      <sheetName val="Distribucion Programas I"/>
      <sheetName val="Distribucion Programas II "/>
      <sheetName val="Distribucion Programas III UTGV"/>
      <sheetName val="Distrib Programas III Poyectos"/>
      <sheetName val="Distrib programa IV Proyectos"/>
      <sheetName val="Egresos Interno"/>
      <sheetName val="Egresos X Partida"/>
      <sheetName val="Egresos Detallado"/>
      <sheetName val="Programas"/>
      <sheetName val="Egresos Contraloría"/>
      <sheetName val="O y A"/>
      <sheetName val="Origen y Aplicacion de Recursos"/>
      <sheetName val="Estructura organizacional"/>
      <sheetName val="Salario Alcalde"/>
      <sheetName val="Relacion de Puestos"/>
      <sheetName val="Relacion de Puestos Vial"/>
      <sheetName val="Relacion de puestos CECUDI"/>
      <sheetName val="Deuda Interna"/>
      <sheetName val="Tranferencias"/>
      <sheetName val="Gastos de Viaje y Transporte "/>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2">
          <cell r="N22">
            <v>32940959.124367021</v>
          </cell>
        </row>
        <row r="23">
          <cell r="N23">
            <v>2665126.1427481407</v>
          </cell>
        </row>
      </sheetData>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greso Interno"/>
      <sheetName val="Ingreso Contraloría"/>
      <sheetName val="Distribucion Programas I"/>
      <sheetName val="Distribucion Programas II "/>
      <sheetName val="Distribucion Programas III UTGV"/>
      <sheetName val="Distrib Programas III Poyectos"/>
      <sheetName val="Distrib programa IV Proyectos"/>
      <sheetName val="Egresos Interno"/>
      <sheetName val="Egresos X Partida"/>
      <sheetName val="Egresos Detallado"/>
      <sheetName val="Programas"/>
      <sheetName val="Egresos Contraloría"/>
      <sheetName val="O y A"/>
      <sheetName val="Origen y Aplicacion de Recursos"/>
      <sheetName val="Estructura organizacional"/>
      <sheetName val="Salario Alcalde"/>
      <sheetName val="Relacion de Puestos"/>
      <sheetName val="Relacion de Puestos Vial"/>
      <sheetName val="Relacion de puestos CECUDI"/>
      <sheetName val="Deuda Interna"/>
      <sheetName val="Tranferencias"/>
      <sheetName val="Gastos de Viaje y Transporte "/>
      <sheetName val="Hoja1"/>
      <sheetName val="General"/>
      <sheetName val="Detalle General + % aumento"/>
      <sheetName val="DGV"/>
      <sheetName val="Otros Calculos"/>
      <sheetName val="Hoja2"/>
      <sheetName val="Resumen"/>
      <sheetName val="Au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5">
          <cell r="D15" t="str">
            <v>Alcalde Municipal (1)</v>
          </cell>
        </row>
      </sheetData>
      <sheetData sheetId="18"/>
      <sheetData sheetId="19"/>
      <sheetData sheetId="20"/>
      <sheetData sheetId="21"/>
      <sheetData sheetId="22"/>
      <sheetData sheetId="23"/>
      <sheetData sheetId="24">
        <row r="10">
          <cell r="O10">
            <v>681822.55489378492</v>
          </cell>
        </row>
      </sheetData>
      <sheetData sheetId="25">
        <row r="9">
          <cell r="F9"/>
        </row>
      </sheetData>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greso Interno"/>
      <sheetName val="Ingreso Contraloría"/>
      <sheetName val="Distribucion Programas I"/>
      <sheetName val="Distribucion Programas II "/>
      <sheetName val="Distribucion Programas III UTGV"/>
      <sheetName val="Distrib Programas III Poyectos"/>
      <sheetName val="Distrib programa IV Proyectos"/>
      <sheetName val="Egresos Interno"/>
      <sheetName val="Egresos X Partida"/>
      <sheetName val="Programas"/>
      <sheetName val="Egresos Contraloría"/>
      <sheetName val="Egresos Detallado"/>
      <sheetName val="O y A"/>
      <sheetName val="Origen y Aplicacion de Recursos"/>
      <sheetName val="Estructura organizacional"/>
      <sheetName val="Salario Alcalde"/>
      <sheetName val="Relacion de Puestos"/>
      <sheetName val="Relacion de Puestos Vial"/>
      <sheetName val="Relacion de puestos CECCUDI"/>
      <sheetName val="Deuda Interna"/>
      <sheetName val="Tranferencias"/>
      <sheetName val="Gastos de Viaje y Transporte "/>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
          <cell r="C11">
            <v>1379966.36</v>
          </cell>
          <cell r="D11">
            <v>4109009.0159999998</v>
          </cell>
        </row>
      </sheetData>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greso Interno"/>
      <sheetName val="Ingreso Contraloría"/>
      <sheetName val="Distribucion Programas I"/>
      <sheetName val="Distribucion Programas II "/>
      <sheetName val="Distribucion Programas III UTGV"/>
      <sheetName val="Distrib Programas III Poyectos"/>
      <sheetName val="Distrib programa IV Proyectos"/>
      <sheetName val="Egresos Interno"/>
      <sheetName val="Egresos X Partida"/>
      <sheetName val="Programas"/>
      <sheetName val="Egresos Contraloría"/>
      <sheetName val="Egresos Detallado"/>
      <sheetName val="O y A"/>
      <sheetName val="Origen y Aplicacion de Recursos"/>
      <sheetName val="Estructura organizacional"/>
      <sheetName val="Salario Alcalde"/>
      <sheetName val="Relacion de Puestos"/>
      <sheetName val="Relacion de Puestos Vial"/>
      <sheetName val="Relacion de puestos CECCUDI"/>
      <sheetName val="Deuda Interna"/>
      <sheetName val="Tranferencias"/>
      <sheetName val="Gastos de Viaje y Transporte "/>
      <sheetName val="Hoja1"/>
    </sheetNames>
    <sheetDataSet>
      <sheetData sheetId="0"/>
      <sheetData sheetId="1"/>
      <sheetData sheetId="2"/>
      <sheetData sheetId="3"/>
      <sheetData sheetId="4"/>
      <sheetData sheetId="5"/>
      <sheetData sheetId="6">
        <row r="1">
          <cell r="P1"/>
        </row>
        <row r="10">
          <cell r="H10">
            <v>0</v>
          </cell>
          <cell r="P10">
            <v>8085227.21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Users/Users/CONTADOR/Users/CONTADOR/AppData/Roaming/Barley%20Presupuesto%202009/Presupuesto%20Ordinario%202009/Modificaciones%20Internas%202006/Modificacion%20Interna%20No%20%201-2006.x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workbookViewId="0">
      <selection activeCell="I4" sqref="I4"/>
    </sheetView>
  </sheetViews>
  <sheetFormatPr baseColWidth="10" defaultRowHeight="15"/>
  <cols>
    <col min="1" max="1" width="34" style="272" customWidth="1"/>
    <col min="2" max="4" width="11.42578125" style="272"/>
    <col min="5" max="5" width="15.140625" style="276" customWidth="1"/>
    <col min="6" max="16384" width="11.42578125" style="272"/>
  </cols>
  <sheetData>
    <row r="1" spans="1:5" ht="15.75">
      <c r="A1" s="999" t="s">
        <v>1147</v>
      </c>
      <c r="B1" s="999"/>
      <c r="C1" s="999"/>
      <c r="D1" s="999"/>
      <c r="E1" s="999"/>
    </row>
    <row r="2" spans="1:5" ht="15.75">
      <c r="A2" s="271"/>
      <c r="B2" s="271"/>
      <c r="C2" s="271"/>
      <c r="D2" s="271"/>
      <c r="E2" s="275"/>
    </row>
    <row r="3" spans="1:5" ht="15.75">
      <c r="A3" s="271"/>
      <c r="B3" s="271"/>
      <c r="C3" s="271"/>
      <c r="D3" s="271"/>
      <c r="E3" s="275"/>
    </row>
    <row r="4" spans="1:5" ht="15.75">
      <c r="A4" s="271"/>
      <c r="B4" s="271"/>
      <c r="C4" s="271"/>
      <c r="D4" s="271"/>
      <c r="E4" s="275"/>
    </row>
    <row r="5" spans="1:5" ht="15.75">
      <c r="A5" s="271"/>
      <c r="B5" s="271"/>
      <c r="C5" s="271"/>
      <c r="D5" s="271"/>
      <c r="E5" s="275"/>
    </row>
    <row r="6" spans="1:5" ht="15.75">
      <c r="A6" s="271"/>
      <c r="B6" s="271"/>
      <c r="C6" s="271"/>
      <c r="D6" s="271"/>
      <c r="E6" s="275"/>
    </row>
    <row r="7" spans="1:5" ht="15.75">
      <c r="A7" s="271"/>
      <c r="B7" s="271"/>
      <c r="C7" s="271"/>
      <c r="D7" s="271"/>
      <c r="E7" s="275"/>
    </row>
    <row r="8" spans="1:5" ht="15.75">
      <c r="A8" s="273"/>
    </row>
    <row r="9" spans="1:5" ht="15.75">
      <c r="A9" s="273"/>
    </row>
    <row r="10" spans="1:5" ht="15.75">
      <c r="A10" s="1000" t="s">
        <v>675</v>
      </c>
      <c r="B10" s="1000"/>
      <c r="C10" s="1000"/>
      <c r="D10" s="1000"/>
      <c r="E10" s="275" t="s">
        <v>1185</v>
      </c>
    </row>
    <row r="11" spans="1:5" ht="15.75">
      <c r="A11" s="271"/>
    </row>
    <row r="12" spans="1:5" ht="15.75">
      <c r="A12" s="274" t="s">
        <v>683</v>
      </c>
      <c r="E12" s="276">
        <v>1</v>
      </c>
    </row>
    <row r="13" spans="1:5" ht="15.75">
      <c r="A13" s="274" t="s">
        <v>1186</v>
      </c>
      <c r="E13" s="276">
        <v>3</v>
      </c>
    </row>
    <row r="14" spans="1:5" ht="15.75">
      <c r="A14" s="274" t="s">
        <v>1187</v>
      </c>
      <c r="E14" s="276">
        <v>4</v>
      </c>
    </row>
    <row r="15" spans="1:5" ht="15.75">
      <c r="A15" s="274" t="s">
        <v>1188</v>
      </c>
      <c r="E15" s="532">
        <v>7</v>
      </c>
    </row>
    <row r="16" spans="1:5" ht="15.75">
      <c r="A16" s="274" t="s">
        <v>1189</v>
      </c>
      <c r="E16" s="276">
        <v>9</v>
      </c>
    </row>
    <row r="17" spans="1:5" ht="15.75">
      <c r="A17" s="274" t="s">
        <v>1190</v>
      </c>
      <c r="E17" s="276">
        <v>10</v>
      </c>
    </row>
    <row r="18" spans="1:5" ht="15.75">
      <c r="A18" s="274" t="s">
        <v>1485</v>
      </c>
      <c r="E18" s="276">
        <v>12</v>
      </c>
    </row>
    <row r="19" spans="1:5" ht="15.75">
      <c r="A19" s="274" t="s">
        <v>1486</v>
      </c>
      <c r="E19" s="276">
        <v>15</v>
      </c>
    </row>
    <row r="20" spans="1:5" ht="15.75">
      <c r="A20" s="274" t="s">
        <v>676</v>
      </c>
      <c r="E20" s="532">
        <v>16</v>
      </c>
    </row>
  </sheetData>
  <mergeCells count="2">
    <mergeCell ref="A1:E1"/>
    <mergeCell ref="A10:D10"/>
  </mergeCells>
  <phoneticPr fontId="3" type="noConversion"/>
  <pageMargins left="0.35433070866141736" right="0.35433070866141736" top="0.98425196850393704" bottom="0.98425196850393704" header="0" footer="0"/>
  <pageSetup orientation="portrait" horizontalDpi="4294967294" vertic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G31"/>
  <sheetViews>
    <sheetView view="pageLayout" zoomScaleNormal="93" workbookViewId="0">
      <selection activeCell="E1" sqref="E1"/>
    </sheetView>
  </sheetViews>
  <sheetFormatPr baseColWidth="10" defaultRowHeight="12.75"/>
  <cols>
    <col min="1" max="1" width="42" customWidth="1"/>
    <col min="2" max="2" width="21.7109375" customWidth="1"/>
    <col min="3" max="3" width="21.42578125" customWidth="1"/>
    <col min="4" max="4" width="25.5703125" customWidth="1"/>
    <col min="5" max="5" width="26.5703125" customWidth="1"/>
    <col min="6" max="6" width="17.28515625" customWidth="1"/>
    <col min="7" max="7" width="17.5703125" customWidth="1"/>
  </cols>
  <sheetData>
    <row r="1" spans="1:7">
      <c r="E1" s="675">
        <v>3</v>
      </c>
    </row>
    <row r="2" spans="1:7" ht="15.75">
      <c r="A2" s="1024" t="s">
        <v>1355</v>
      </c>
      <c r="B2" s="1024"/>
      <c r="C2" s="1024"/>
      <c r="D2" s="1024"/>
      <c r="E2" s="1024"/>
    </row>
    <row r="3" spans="1:7" ht="15.75">
      <c r="A3" s="1024" t="s">
        <v>1151</v>
      </c>
      <c r="B3" s="1024"/>
      <c r="C3" s="1024"/>
      <c r="D3" s="1024"/>
      <c r="E3" s="1024"/>
    </row>
    <row r="4" spans="1:7" ht="15.75">
      <c r="A4" s="1024" t="s">
        <v>1152</v>
      </c>
      <c r="B4" s="1024"/>
      <c r="C4" s="1024"/>
      <c r="D4" s="1024"/>
      <c r="E4" s="1024"/>
    </row>
    <row r="5" spans="1:7" ht="15.75">
      <c r="A5" s="565"/>
      <c r="B5" s="565"/>
      <c r="C5" s="565"/>
      <c r="D5" s="565"/>
    </row>
    <row r="6" spans="1:7" ht="15">
      <c r="A6" s="566"/>
      <c r="B6" s="566"/>
      <c r="C6" s="566"/>
      <c r="D6" s="566"/>
    </row>
    <row r="7" spans="1:7" ht="73.5" customHeight="1">
      <c r="A7" s="567"/>
      <c r="B7" s="568" t="s">
        <v>1153</v>
      </c>
      <c r="C7" s="568" t="s">
        <v>1154</v>
      </c>
      <c r="D7" s="568" t="s">
        <v>1155</v>
      </c>
      <c r="E7" s="678" t="s">
        <v>173</v>
      </c>
    </row>
    <row r="8" spans="1:7" ht="15.75">
      <c r="A8" s="44" t="s">
        <v>1156</v>
      </c>
      <c r="B8" s="570">
        <f>SUM(B10:B19)</f>
        <v>450211836.02689499</v>
      </c>
      <c r="C8" s="570">
        <f>SUM(C10:C19)</f>
        <v>473739553.17658097</v>
      </c>
      <c r="D8" s="570">
        <f>SUM(D10:D19)</f>
        <v>2077134902.1368129</v>
      </c>
      <c r="E8" s="570">
        <f>SUM(B8:D8)</f>
        <v>3001086291.3402891</v>
      </c>
      <c r="F8" s="238">
        <f>+'Distribucion Programas I'!F8+'Distribucion Programas II '!Q10+'Distribucion Programas III UTGV'!C9+'Distrib Programas III Poyectos'!Y10</f>
        <v>3001086291.3402891</v>
      </c>
      <c r="G8" s="238">
        <f>+'Ingreso Contraloría'!C7</f>
        <v>3001086291.3400002</v>
      </c>
    </row>
    <row r="9" spans="1:7" ht="15">
      <c r="A9" s="566"/>
      <c r="B9" s="571"/>
      <c r="C9" s="571"/>
      <c r="D9" s="571"/>
      <c r="E9" s="238"/>
      <c r="F9" s="238"/>
      <c r="G9" s="238">
        <f>+G8-F8</f>
        <v>-2.8896331787109375E-4</v>
      </c>
    </row>
    <row r="10" spans="1:7" ht="15.75">
      <c r="A10" s="569" t="s">
        <v>1157</v>
      </c>
      <c r="B10" s="574">
        <f>+'Distribucion Programas I'!F9</f>
        <v>340683154.14908415</v>
      </c>
      <c r="C10" s="574">
        <f>+'Distribucion Programas II '!Q11</f>
        <v>302752052.52965844</v>
      </c>
      <c r="D10" s="574">
        <f>+'Distribucion Programas III UTGV'!C10+'Distrib Programas III Poyectos'!F10+'Distrib Programas III Poyectos'!N10</f>
        <v>502391191.25282407</v>
      </c>
      <c r="E10" s="574">
        <f>SUM(B10:D10)</f>
        <v>1145826397.9315667</v>
      </c>
      <c r="F10" s="2">
        <f>+F8-E8</f>
        <v>0</v>
      </c>
      <c r="G10" s="2"/>
    </row>
    <row r="11" spans="1:7" ht="15.75">
      <c r="A11" s="569" t="s">
        <v>1158</v>
      </c>
      <c r="B11" s="574">
        <f>+'Distribucion Programas I'!F51</f>
        <v>14898151.782769172</v>
      </c>
      <c r="C11" s="574">
        <f>+'Distribucion Programas II '!Q52</f>
        <v>70484592.640922517</v>
      </c>
      <c r="D11" s="574">
        <f>+'Distribucion Programas III UTGV'!C51+'Distrib Programas III Poyectos'!O10+'Distrib Programas III Poyectos'!P10</f>
        <v>133129153.44398892</v>
      </c>
      <c r="E11" s="574">
        <f t="shared" ref="E11:E19" si="0">SUM(B11:D11)</f>
        <v>218511897.86768061</v>
      </c>
      <c r="F11" s="2"/>
      <c r="G11" s="2"/>
    </row>
    <row r="12" spans="1:7" ht="15.75">
      <c r="A12" s="569" t="s">
        <v>1159</v>
      </c>
      <c r="B12" s="574">
        <f>+'Distribucion Programas I'!F125</f>
        <v>4353306.5999999996</v>
      </c>
      <c r="C12" s="574">
        <f>+'Distribucion Programas II '!Q126</f>
        <v>76329067.120000005</v>
      </c>
      <c r="D12" s="574">
        <f>+'Distribucion Programas III UTGV'!C125+'Distrib Programas III Poyectos'!R10+'Distrib Programas III Poyectos'!S10+'Distrib Programas III Poyectos'!T10+'Distrib Programas III Poyectos'!U10+'Distrib Programas III Poyectos'!V10+'Distrib Programas III Poyectos'!W10</f>
        <v>549269919.35185182</v>
      </c>
      <c r="E12" s="574">
        <f t="shared" si="0"/>
        <v>629952293.07185185</v>
      </c>
      <c r="F12" s="2"/>
      <c r="G12" s="2"/>
    </row>
    <row r="13" spans="1:7" ht="15.75">
      <c r="A13" s="569" t="s">
        <v>1160</v>
      </c>
      <c r="B13" s="574">
        <f>+'Distribucion Programas I'!F169</f>
        <v>2069949.5399999998</v>
      </c>
      <c r="C13" s="574">
        <f>+'Distribucion Programas II '!Q170</f>
        <v>1379966.36</v>
      </c>
      <c r="D13" s="574">
        <f>+'Distribucion Programas III UTGV'!C169</f>
        <v>28973967.510000002</v>
      </c>
      <c r="E13" s="574">
        <f t="shared" si="0"/>
        <v>32423883.41</v>
      </c>
      <c r="F13" s="2"/>
      <c r="G13" s="2"/>
    </row>
    <row r="14" spans="1:7" ht="15.75">
      <c r="A14" s="569" t="s">
        <v>1161</v>
      </c>
      <c r="B14" s="574">
        <f>+'Distribucion Programas I'!F197</f>
        <v>0</v>
      </c>
      <c r="C14" s="574">
        <v>0</v>
      </c>
      <c r="D14" s="574">
        <v>0</v>
      </c>
      <c r="E14" s="574">
        <f t="shared" si="0"/>
        <v>0</v>
      </c>
      <c r="F14" s="2"/>
      <c r="G14" s="2"/>
    </row>
    <row r="15" spans="1:7" ht="15.75">
      <c r="A15" s="569" t="s">
        <v>1162</v>
      </c>
      <c r="B15" s="574">
        <f>+'Distribucion Programas I'!F222</f>
        <v>0</v>
      </c>
      <c r="C15" s="574">
        <f>+'Distribucion Programas II '!Q223</f>
        <v>9500403.4199999999</v>
      </c>
      <c r="D15" s="574">
        <f>+'Distribucion Programas III UTGV'!C222+'Distrib Programas III Poyectos'!X10</f>
        <v>761069268.14814818</v>
      </c>
      <c r="E15" s="574">
        <f t="shared" si="0"/>
        <v>770569671.56814814</v>
      </c>
      <c r="F15" s="2"/>
      <c r="G15" s="2"/>
    </row>
    <row r="16" spans="1:7" ht="15.75">
      <c r="A16" s="569" t="s">
        <v>1163</v>
      </c>
      <c r="B16" s="574">
        <f>+'Distribucion Programas I'!F254</f>
        <v>82043760.431041673</v>
      </c>
      <c r="C16" s="574">
        <f>+'Distribucion Programas II '!Q255</f>
        <v>9184462.0899999999</v>
      </c>
      <c r="D16" s="574">
        <f>+'Distribucion Programas III UTGV'!C254</f>
        <v>8100000</v>
      </c>
      <c r="E16" s="574">
        <f t="shared" si="0"/>
        <v>99328222.521041676</v>
      </c>
      <c r="F16" s="2"/>
      <c r="G16" s="2"/>
    </row>
    <row r="17" spans="1:7" ht="15.75">
      <c r="A17" s="569" t="s">
        <v>1164</v>
      </c>
      <c r="B17" s="574">
        <f>+'Distribucion Programas I'!F297</f>
        <v>0</v>
      </c>
      <c r="C17" s="574">
        <f>+'Distribucion Programas II '!Q298</f>
        <v>0</v>
      </c>
      <c r="D17" s="574">
        <v>0</v>
      </c>
      <c r="E17" s="574">
        <f t="shared" si="0"/>
        <v>0</v>
      </c>
      <c r="F17" s="2"/>
      <c r="G17" s="2"/>
    </row>
    <row r="18" spans="1:7" ht="15.75">
      <c r="A18" s="569" t="s">
        <v>1165</v>
      </c>
      <c r="B18" s="574">
        <f>+'Distribucion Programas I'!F323</f>
        <v>6163513.5239999993</v>
      </c>
      <c r="C18" s="574">
        <f>+'Distribucion Programas II '!Q324</f>
        <v>4109009.0159999998</v>
      </c>
      <c r="D18" s="574">
        <f>+'Distribucion Programas III UTGV'!C323</f>
        <v>94201402.430000007</v>
      </c>
      <c r="E18" s="574">
        <f t="shared" si="0"/>
        <v>104473924.97</v>
      </c>
      <c r="F18" s="2"/>
      <c r="G18" s="2"/>
    </row>
    <row r="19" spans="1:7" ht="15.75">
      <c r="A19" s="569" t="s">
        <v>1166</v>
      </c>
      <c r="B19" s="574">
        <f>+'Distribucion Programas I'!F340</f>
        <v>0</v>
      </c>
      <c r="C19" s="574">
        <f>+'Distribucion Programas II '!Q341</f>
        <v>0</v>
      </c>
      <c r="D19" s="574"/>
      <c r="E19" s="574">
        <f t="shared" si="0"/>
        <v>0</v>
      </c>
    </row>
    <row r="20" spans="1:7">
      <c r="B20" s="2"/>
      <c r="C20" s="2"/>
      <c r="D20" s="2"/>
      <c r="E20" s="2"/>
    </row>
    <row r="22" spans="1:7">
      <c r="B22" s="238"/>
      <c r="C22" s="238"/>
      <c r="D22" s="238"/>
    </row>
    <row r="23" spans="1:7">
      <c r="B23" s="238"/>
      <c r="C23" s="238"/>
      <c r="D23" s="238"/>
      <c r="E23" s="238"/>
      <c r="F23" s="2"/>
      <c r="G23" s="2"/>
    </row>
    <row r="24" spans="1:7">
      <c r="F24" s="2"/>
      <c r="G24" s="2"/>
    </row>
    <row r="25" spans="1:7">
      <c r="F25" s="2"/>
      <c r="G25" s="2"/>
    </row>
    <row r="26" spans="1:7">
      <c r="F26" s="2"/>
      <c r="G26" s="2"/>
    </row>
    <row r="27" spans="1:7">
      <c r="F27" s="2"/>
      <c r="G27" s="2"/>
    </row>
    <row r="28" spans="1:7">
      <c r="G28" s="2"/>
    </row>
    <row r="29" spans="1:7">
      <c r="G29" s="2"/>
    </row>
    <row r="30" spans="1:7">
      <c r="G30" s="2"/>
    </row>
    <row r="31" spans="1:7">
      <c r="G31" s="2"/>
    </row>
  </sheetData>
  <mergeCells count="3">
    <mergeCell ref="A2:E2"/>
    <mergeCell ref="A3:E3"/>
    <mergeCell ref="A4:E4"/>
  </mergeCells>
  <pageMargins left="0.70866141732283472" right="0.70866141732283472" top="0.74803149606299213" bottom="0.74803149606299213" header="0.31496062992125984" footer="0.31496062992125984"/>
  <pageSetup paperSize="9" scale="95"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F55"/>
  <sheetViews>
    <sheetView workbookViewId="0">
      <selection activeCell="I47" sqref="I47"/>
    </sheetView>
  </sheetViews>
  <sheetFormatPr baseColWidth="10" defaultRowHeight="12.75"/>
  <cols>
    <col min="2" max="2" width="37.85546875" customWidth="1"/>
    <col min="3" max="3" width="19.5703125" customWidth="1"/>
    <col min="4" max="4" width="26.85546875" bestFit="1" customWidth="1"/>
    <col min="5" max="5" width="22.140625" customWidth="1"/>
    <col min="6" max="6" width="14.85546875" bestFit="1" customWidth="1"/>
  </cols>
  <sheetData>
    <row r="1" spans="1:5">
      <c r="A1" s="1025" t="s">
        <v>199</v>
      </c>
      <c r="B1" s="1025"/>
      <c r="C1" s="1025"/>
      <c r="D1" s="1025"/>
    </row>
    <row r="2" spans="1:5">
      <c r="A2" s="1025" t="s">
        <v>1118</v>
      </c>
      <c r="B2" s="1025"/>
      <c r="C2" s="1025"/>
      <c r="D2" s="1025"/>
    </row>
    <row r="3" spans="1:5">
      <c r="A3" s="57"/>
    </row>
    <row r="4" spans="1:5">
      <c r="A4" s="57"/>
    </row>
    <row r="5" spans="1:5" ht="13.5" thickBot="1">
      <c r="A5" s="113" t="s">
        <v>200</v>
      </c>
    </row>
    <row r="6" spans="1:5" ht="16.5" thickBot="1">
      <c r="A6" s="96"/>
      <c r="B6" s="107" t="s">
        <v>201</v>
      </c>
      <c r="C6" s="97">
        <f>SUM(C7:C15)</f>
        <v>450231795.69689494</v>
      </c>
      <c r="D6" s="305">
        <f>SUM(D7:D15)</f>
        <v>100.00000000000003</v>
      </c>
      <c r="E6" s="238">
        <f>+'Distribucion Programas I'!F8</f>
        <v>450211836.02689499</v>
      </c>
    </row>
    <row r="7" spans="1:5" ht="15">
      <c r="A7" s="101">
        <v>0</v>
      </c>
      <c r="B7" s="102" t="s">
        <v>190</v>
      </c>
      <c r="C7" s="292">
        <f>+'Distribucion Programas I'!F9</f>
        <v>340683154.14908415</v>
      </c>
      <c r="D7" s="282">
        <f>+C7*100/C6</f>
        <v>75.668390683460061</v>
      </c>
      <c r="E7" s="238">
        <f>+C6-E6</f>
        <v>19959.669999957085</v>
      </c>
    </row>
    <row r="8" spans="1:5" ht="15">
      <c r="A8" s="101">
        <v>1</v>
      </c>
      <c r="B8" s="102" t="s">
        <v>191</v>
      </c>
      <c r="C8" s="292">
        <f>+'Distribucion Programas I'!F51</f>
        <v>14898151.782769172</v>
      </c>
      <c r="D8" s="280">
        <f>+$C$8*100/C6</f>
        <v>3.3089959272443092</v>
      </c>
    </row>
    <row r="9" spans="1:5" ht="15">
      <c r="A9" s="101">
        <v>2</v>
      </c>
      <c r="B9" s="102" t="s">
        <v>192</v>
      </c>
      <c r="C9" s="292">
        <f>+'Distribucion Programas I'!F125+20000-40.33</f>
        <v>4373266.2699999996</v>
      </c>
      <c r="D9" s="280">
        <f>+C9*100/C6</f>
        <v>0.97133661189583553</v>
      </c>
      <c r="E9" s="244"/>
    </row>
    <row r="10" spans="1:5" ht="15">
      <c r="A10" s="101">
        <v>3</v>
      </c>
      <c r="B10" s="102" t="s">
        <v>193</v>
      </c>
      <c r="C10" s="292">
        <f>+'Distribucion Programas I'!F169</f>
        <v>2069949.5399999998</v>
      </c>
      <c r="D10" s="280">
        <f>+C10*100/C6</f>
        <v>0.45975196771609866</v>
      </c>
    </row>
    <row r="11" spans="1:5" ht="15">
      <c r="A11" s="101">
        <v>4</v>
      </c>
      <c r="B11" s="102" t="s">
        <v>194</v>
      </c>
      <c r="C11" s="292">
        <f>+'Distribucion Programas I'!F197</f>
        <v>0</v>
      </c>
      <c r="D11" s="280">
        <v>0</v>
      </c>
    </row>
    <row r="12" spans="1:5" ht="15">
      <c r="A12" s="101">
        <v>5</v>
      </c>
      <c r="B12" s="102" t="s">
        <v>195</v>
      </c>
      <c r="C12" s="292">
        <f>+'Distribucion Programas I'!F222</f>
        <v>0</v>
      </c>
      <c r="D12" s="280">
        <v>0</v>
      </c>
    </row>
    <row r="13" spans="1:5" ht="15">
      <c r="A13" s="101">
        <v>6</v>
      </c>
      <c r="B13" s="102" t="s">
        <v>4</v>
      </c>
      <c r="C13" s="292">
        <f>+'Distribucion Programas I'!F254</f>
        <v>82043760.431041673</v>
      </c>
      <c r="D13" s="280">
        <f>+C13*100/C6</f>
        <v>18.222560293426092</v>
      </c>
    </row>
    <row r="14" spans="1:5" ht="15">
      <c r="A14" s="101">
        <v>8</v>
      </c>
      <c r="B14" s="102" t="s">
        <v>196</v>
      </c>
      <c r="C14" s="292">
        <f>+'Distribucion Programas I'!F323</f>
        <v>6163513.5239999993</v>
      </c>
      <c r="D14" s="280">
        <f>+C14*100/C6</f>
        <v>1.3689645162576214</v>
      </c>
      <c r="E14" s="244"/>
    </row>
    <row r="15" spans="1:5" ht="15.75" thickBot="1">
      <c r="A15" s="104">
        <v>9</v>
      </c>
      <c r="B15" s="105" t="s">
        <v>198</v>
      </c>
      <c r="C15" s="293">
        <f>+'Distribucion Programas I'!F345</f>
        <v>0</v>
      </c>
      <c r="D15" s="326">
        <f>+C15*100/180694237.85</f>
        <v>0</v>
      </c>
    </row>
    <row r="16" spans="1:5">
      <c r="A16" s="95"/>
      <c r="C16" s="238"/>
    </row>
    <row r="17" spans="1:6">
      <c r="A17" s="95"/>
      <c r="C17" s="238"/>
    </row>
    <row r="18" spans="1:6">
      <c r="A18" s="95"/>
    </row>
    <row r="19" spans="1:6" ht="13.5" thickBot="1">
      <c r="A19" s="113" t="s">
        <v>202</v>
      </c>
      <c r="F19" s="2"/>
    </row>
    <row r="20" spans="1:6" ht="16.5" thickBot="1">
      <c r="A20" s="96"/>
      <c r="B20" s="107" t="s">
        <v>203</v>
      </c>
      <c r="C20" s="97">
        <f>SUM(C21:C28)</f>
        <v>466189553.17658097</v>
      </c>
      <c r="D20" s="97">
        <f>SUM(D21:D28)</f>
        <v>142.0188864322825</v>
      </c>
      <c r="E20" s="238">
        <f>+'Distribucion Programas II '!Q10</f>
        <v>473739553.17658097</v>
      </c>
      <c r="F20" s="2"/>
    </row>
    <row r="21" spans="1:6" ht="15">
      <c r="A21" s="101">
        <v>0</v>
      </c>
      <c r="B21" s="102" t="s">
        <v>190</v>
      </c>
      <c r="C21" s="324">
        <f>+'Distribucion Programas II '!Q11</f>
        <v>302752052.52965844</v>
      </c>
      <c r="D21" s="278">
        <f>+C21*100/C20</f>
        <v>64.94183545442587</v>
      </c>
      <c r="E21" s="238"/>
      <c r="F21" s="2"/>
    </row>
    <row r="22" spans="1:6" ht="15">
      <c r="A22" s="101">
        <v>1</v>
      </c>
      <c r="B22" s="102" t="s">
        <v>191</v>
      </c>
      <c r="C22" s="325">
        <f>+'Distribucion Programas II '!Q52</f>
        <v>70484592.640922517</v>
      </c>
      <c r="D22" s="278">
        <f>+C22*100/C20</f>
        <v>15.119299040625373</v>
      </c>
      <c r="E22" s="244"/>
      <c r="F22" s="2"/>
    </row>
    <row r="23" spans="1:6" ht="15">
      <c r="A23" s="101">
        <v>2</v>
      </c>
      <c r="B23" s="102" t="s">
        <v>192</v>
      </c>
      <c r="C23" s="325">
        <f>+'Distribucion Programas II '!Q126</f>
        <v>76329067.120000005</v>
      </c>
      <c r="D23" s="278">
        <f>+C23*100/C20</f>
        <v>16.372968162821198</v>
      </c>
      <c r="E23" s="244"/>
      <c r="F23" s="2"/>
    </row>
    <row r="24" spans="1:6" ht="15">
      <c r="A24" s="101">
        <v>3</v>
      </c>
      <c r="B24" s="102" t="s">
        <v>193</v>
      </c>
      <c r="C24" s="325">
        <f>+'Distribucion Programas II '!Q170</f>
        <v>1379966.36</v>
      </c>
      <c r="D24" s="278">
        <f>+C24*100/C20</f>
        <v>0.29600971334449944</v>
      </c>
      <c r="E24" s="244"/>
    </row>
    <row r="25" spans="1:6" ht="15">
      <c r="A25" s="101">
        <v>5</v>
      </c>
      <c r="B25" s="102" t="s">
        <v>195</v>
      </c>
      <c r="C25" s="325">
        <f>+'Distribucion Programas II '!Q223</f>
        <v>9500403.4199999999</v>
      </c>
      <c r="D25" s="278">
        <f>+C25*100/C20</f>
        <v>2.0378842372732202</v>
      </c>
      <c r="E25" s="244"/>
    </row>
    <row r="26" spans="1:6" ht="15">
      <c r="A26" s="101">
        <v>6</v>
      </c>
      <c r="B26" s="102" t="s">
        <v>4</v>
      </c>
      <c r="C26" s="325">
        <f>+'Distribucion Programas II '!Q273</f>
        <v>1634462.0899999999</v>
      </c>
      <c r="D26" s="278">
        <v>0</v>
      </c>
      <c r="E26" s="244"/>
    </row>
    <row r="27" spans="1:6" ht="15">
      <c r="A27" s="101">
        <v>8</v>
      </c>
      <c r="B27" s="102" t="s">
        <v>196</v>
      </c>
      <c r="C27" s="325">
        <f>+'Distribucion Programas II '!Q324</f>
        <v>4109009.0159999998</v>
      </c>
      <c r="D27" s="278">
        <f>+C27*100/C25</f>
        <v>43.250889823792342</v>
      </c>
    </row>
    <row r="28" spans="1:6" ht="15.75" thickBot="1">
      <c r="A28" s="104">
        <v>9</v>
      </c>
      <c r="B28" s="105" t="s">
        <v>198</v>
      </c>
      <c r="C28" s="326">
        <f>+'Distribucion Programas II '!Q345</f>
        <v>0</v>
      </c>
      <c r="D28" s="323">
        <f>+C28*100/C20</f>
        <v>0</v>
      </c>
    </row>
    <row r="29" spans="1:6">
      <c r="A29" s="108"/>
    </row>
    <row r="30" spans="1:6">
      <c r="A30" s="57"/>
      <c r="C30" s="244"/>
    </row>
    <row r="31" spans="1:6" ht="13.5" thickBot="1">
      <c r="A31" s="57" t="s">
        <v>204</v>
      </c>
      <c r="C31" s="238"/>
    </row>
    <row r="32" spans="1:6" ht="16.5" thickBot="1">
      <c r="A32" s="96"/>
      <c r="B32" s="107" t="s">
        <v>205</v>
      </c>
      <c r="C32" s="97" t="e">
        <f>SUM(C34:C41)</f>
        <v>#REF!</v>
      </c>
      <c r="D32" s="97" t="e">
        <f>SUM(D34:D41)</f>
        <v>#REF!</v>
      </c>
      <c r="E32" s="238">
        <f>+'Distribucion Programas III UTGV'!C9+'Distrib Programas III Poyectos'!Y10</f>
        <v>2077134902.1368132</v>
      </c>
    </row>
    <row r="33" spans="1:5" ht="15.75">
      <c r="A33" s="109"/>
      <c r="B33" s="99"/>
      <c r="C33" s="100"/>
      <c r="D33" s="100"/>
      <c r="E33" s="2"/>
    </row>
    <row r="34" spans="1:5" ht="15">
      <c r="A34" s="101">
        <v>0</v>
      </c>
      <c r="B34" s="102" t="s">
        <v>190</v>
      </c>
      <c r="C34" s="288">
        <f>+'Distribucion Programas III UTGV'!C10</f>
        <v>502391191.25282407</v>
      </c>
      <c r="D34" s="288" t="e">
        <f>+C34*100/C32</f>
        <v>#REF!</v>
      </c>
    </row>
    <row r="35" spans="1:5" ht="15">
      <c r="A35" s="101">
        <v>1</v>
      </c>
      <c r="B35" s="102" t="s">
        <v>191</v>
      </c>
      <c r="C35" s="288" t="e">
        <f>+'Distribucion Programas III UTGV'!C51+'Distrib Programas III Poyectos'!#REF!+'Distrib Programas III Poyectos'!#REF!</f>
        <v>#REF!</v>
      </c>
      <c r="D35" s="288" t="e">
        <f>+C35*100/C32</f>
        <v>#REF!</v>
      </c>
      <c r="E35" s="238"/>
    </row>
    <row r="36" spans="1:5" ht="15">
      <c r="A36" s="101">
        <v>2</v>
      </c>
      <c r="B36" s="102" t="s">
        <v>192</v>
      </c>
      <c r="C36" s="288" t="e">
        <f>+'Distribucion Programas III UTGV'!C125+'Distrib Programas III Poyectos'!#REF!+'Distrib Programas III Poyectos'!#REF!+'Distrib Programas III Poyectos'!T10</f>
        <v>#REF!</v>
      </c>
      <c r="D36" s="288" t="e">
        <f>+C36*100/C32</f>
        <v>#REF!</v>
      </c>
    </row>
    <row r="37" spans="1:5" ht="15">
      <c r="A37" s="101">
        <v>3</v>
      </c>
      <c r="B37" s="102" t="s">
        <v>193</v>
      </c>
      <c r="C37" s="288">
        <f>+'Distribucion Programas III UTGV'!C169</f>
        <v>28973967.510000002</v>
      </c>
      <c r="D37" s="288" t="e">
        <f>+C37*100/C32</f>
        <v>#REF!</v>
      </c>
    </row>
    <row r="38" spans="1:5" ht="15">
      <c r="A38" s="101">
        <v>5</v>
      </c>
      <c r="B38" s="102" t="s">
        <v>195</v>
      </c>
      <c r="C38" s="288" t="e">
        <f>+'Distribucion Programas III UTGV'!C222+'Distrib Programas III Poyectos'!X10+'Distrib Programas III Poyectos'!#REF!</f>
        <v>#REF!</v>
      </c>
      <c r="D38" s="288" t="e">
        <f>+C38*100/C32</f>
        <v>#REF!</v>
      </c>
    </row>
    <row r="39" spans="1:5" ht="15">
      <c r="A39" s="101">
        <v>6</v>
      </c>
      <c r="B39" s="102" t="s">
        <v>4</v>
      </c>
      <c r="C39" s="288">
        <f>+'Distribucion Programas III UTGV'!C297</f>
        <v>0</v>
      </c>
      <c r="D39" s="288">
        <f>+C39*100/558310212.67</f>
        <v>0</v>
      </c>
    </row>
    <row r="40" spans="1:5" ht="15">
      <c r="A40" s="101">
        <v>8</v>
      </c>
      <c r="B40" s="102" t="s">
        <v>196</v>
      </c>
      <c r="C40" s="288">
        <v>0</v>
      </c>
      <c r="D40" s="288">
        <f>+C40*100/558310212.67</f>
        <v>0</v>
      </c>
    </row>
    <row r="41" spans="1:5" ht="15">
      <c r="A41" s="101"/>
      <c r="B41" s="102"/>
      <c r="C41" s="288">
        <f>+'Distribucion Programas III UTGV'!C340</f>
        <v>0</v>
      </c>
      <c r="D41" s="288">
        <f>+C41*100/558310212.67</f>
        <v>0</v>
      </c>
    </row>
    <row r="42" spans="1:5" ht="15.75" thickBot="1">
      <c r="A42" s="110"/>
      <c r="B42" s="111"/>
      <c r="C42" s="112"/>
      <c r="D42" s="112"/>
      <c r="E42" s="238"/>
    </row>
    <row r="43" spans="1:5">
      <c r="A43" s="57"/>
      <c r="E43" s="244"/>
    </row>
    <row r="44" spans="1:5">
      <c r="A44" s="95"/>
      <c r="C44" s="244"/>
      <c r="E44" s="2"/>
    </row>
    <row r="45" spans="1:5">
      <c r="A45" s="54" t="s">
        <v>336</v>
      </c>
      <c r="C45" s="244"/>
      <c r="E45" s="238"/>
    </row>
    <row r="46" spans="1:5">
      <c r="A46" s="54" t="s">
        <v>1120</v>
      </c>
      <c r="C46" s="238"/>
      <c r="E46" s="238"/>
    </row>
    <row r="47" spans="1:5">
      <c r="A47" s="95"/>
      <c r="C47" s="238"/>
    </row>
    <row r="48" spans="1:5">
      <c r="A48" s="95"/>
      <c r="C48" s="244"/>
      <c r="D48" s="238"/>
      <c r="E48" s="238"/>
    </row>
    <row r="49" spans="1:4">
      <c r="A49" s="95"/>
      <c r="C49" s="238"/>
    </row>
    <row r="50" spans="1:4">
      <c r="A50" s="95"/>
      <c r="C50" s="2"/>
    </row>
    <row r="51" spans="1:4">
      <c r="A51" s="95"/>
    </row>
    <row r="52" spans="1:4">
      <c r="C52" s="244"/>
    </row>
    <row r="53" spans="1:4">
      <c r="C53" s="238"/>
      <c r="D53" s="2"/>
    </row>
    <row r="54" spans="1:4">
      <c r="D54" s="2"/>
    </row>
    <row r="55" spans="1:4">
      <c r="D55" s="2"/>
    </row>
  </sheetData>
  <mergeCells count="2">
    <mergeCell ref="A1:D1"/>
    <mergeCell ref="A2:D2"/>
  </mergeCells>
  <phoneticPr fontId="3" type="noConversion"/>
  <printOptions horizontalCentered="1"/>
  <pageMargins left="0.39370078740157483" right="0.39370078740157483" top="0.98425196850393704" bottom="0.98425196850393704" header="0" footer="0"/>
  <pageSetup orientation="portrait" horizontalDpi="4294967294" verticalDpi="144" r:id="rId1"/>
  <headerFooter alignWithMargins="0">
    <oddHeader>&amp;R&amp;8 4</oddHeader>
    <oddFooter>&amp;L&amp;8&amp;Z&amp;F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F29"/>
  <sheetViews>
    <sheetView workbookViewId="0">
      <selection activeCell="B23" sqref="B23"/>
    </sheetView>
  </sheetViews>
  <sheetFormatPr baseColWidth="10" defaultRowHeight="12.75"/>
  <cols>
    <col min="1" max="1" width="11.7109375" customWidth="1"/>
    <col min="2" max="2" width="37.140625" customWidth="1"/>
    <col min="3" max="3" width="24.28515625" customWidth="1"/>
    <col min="4" max="4" width="12.140625" customWidth="1"/>
    <col min="6" max="6" width="17.28515625" style="2" customWidth="1"/>
  </cols>
  <sheetData>
    <row r="1" spans="1:6">
      <c r="A1" s="1025" t="s">
        <v>199</v>
      </c>
      <c r="B1" s="1025"/>
      <c r="C1" s="1025"/>
      <c r="D1" s="1025"/>
    </row>
    <row r="2" spans="1:6">
      <c r="A2" s="1025" t="s">
        <v>1118</v>
      </c>
      <c r="B2" s="1025"/>
      <c r="C2" s="1025"/>
      <c r="D2" s="1025"/>
    </row>
    <row r="3" spans="1:6">
      <c r="A3" s="57"/>
    </row>
    <row r="4" spans="1:6">
      <c r="A4" s="1025" t="s">
        <v>187</v>
      </c>
      <c r="B4" s="1025"/>
      <c r="C4" s="1025"/>
      <c r="D4" s="1025"/>
    </row>
    <row r="5" spans="1:6">
      <c r="A5" s="1025" t="s">
        <v>188</v>
      </c>
      <c r="B5" s="1025"/>
      <c r="C5" s="1025"/>
      <c r="D5" s="1025"/>
    </row>
    <row r="6" spans="1:6">
      <c r="A6" s="94"/>
    </row>
    <row r="7" spans="1:6" ht="13.5" thickBot="1">
      <c r="A7" s="95"/>
      <c r="C7" s="244"/>
    </row>
    <row r="8" spans="1:6" ht="16.5" thickBot="1">
      <c r="A8" s="1026" t="s">
        <v>189</v>
      </c>
      <c r="B8" s="1027"/>
      <c r="C8" s="97" t="e">
        <f>SUM(C10:C19)</f>
        <v>#REF!</v>
      </c>
      <c r="D8" s="97" t="e">
        <f>SUM(D10:D19)</f>
        <v>#REF!</v>
      </c>
      <c r="F8" s="2">
        <f>+'Ingreso Contraloría'!C7</f>
        <v>3001086291.3400002</v>
      </c>
    </row>
    <row r="9" spans="1:6" ht="15.75">
      <c r="A9" s="98"/>
      <c r="B9" s="99"/>
      <c r="C9" s="100"/>
      <c r="D9" s="279"/>
      <c r="F9" s="2" t="e">
        <f>+F8-C8</f>
        <v>#REF!</v>
      </c>
    </row>
    <row r="10" spans="1:6" ht="15">
      <c r="A10" s="101">
        <v>0</v>
      </c>
      <c r="B10" s="102" t="s">
        <v>190</v>
      </c>
      <c r="C10" s="103">
        <f>+Programas!C7+Programas!C21+Programas!C34</f>
        <v>1145826397.9315667</v>
      </c>
      <c r="D10" s="280" t="e">
        <f>+C10*100/C8</f>
        <v>#REF!</v>
      </c>
      <c r="F10" s="2">
        <f>+'Ingreso Contraloría'!C87</f>
        <v>2094199674.9300001</v>
      </c>
    </row>
    <row r="11" spans="1:6" ht="15">
      <c r="A11" s="101">
        <v>1</v>
      </c>
      <c r="B11" s="102" t="s">
        <v>191</v>
      </c>
      <c r="C11" s="103" t="e">
        <f>+Programas!C8+Programas!C22+Programas!C35</f>
        <v>#REF!</v>
      </c>
      <c r="D11" s="280" t="e">
        <f>+C11*100/C8</f>
        <v>#REF!</v>
      </c>
    </row>
    <row r="12" spans="1:6" ht="15">
      <c r="A12" s="101">
        <v>2</v>
      </c>
      <c r="B12" s="102" t="s">
        <v>192</v>
      </c>
      <c r="C12" s="103" t="e">
        <f>+Programas!C9+Programas!C23+Programas!C36</f>
        <v>#REF!</v>
      </c>
      <c r="D12" s="280" t="e">
        <f>+C12*100/C8</f>
        <v>#REF!</v>
      </c>
      <c r="F12" s="2" t="e">
        <f>+F9-F10</f>
        <v>#REF!</v>
      </c>
    </row>
    <row r="13" spans="1:6" ht="15">
      <c r="A13" s="101">
        <v>3</v>
      </c>
      <c r="B13" s="102" t="s">
        <v>193</v>
      </c>
      <c r="C13" s="103">
        <f>+Programas!C10+Programas!C24+Programas!C37</f>
        <v>32423883.41</v>
      </c>
      <c r="D13" s="280" t="e">
        <f>+C13*100/C8</f>
        <v>#REF!</v>
      </c>
      <c r="F13" s="2" t="e">
        <f>+F10+F12</f>
        <v>#REF!</v>
      </c>
    </row>
    <row r="14" spans="1:6" ht="15">
      <c r="A14" s="101">
        <v>4</v>
      </c>
      <c r="B14" s="102" t="s">
        <v>194</v>
      </c>
      <c r="C14" s="103">
        <v>0</v>
      </c>
      <c r="D14" s="280" t="e">
        <f>+C14*100/C8</f>
        <v>#REF!</v>
      </c>
    </row>
    <row r="15" spans="1:6" ht="15">
      <c r="A15" s="101">
        <v>5</v>
      </c>
      <c r="B15" s="102" t="s">
        <v>195</v>
      </c>
      <c r="C15" s="103" t="e">
        <f>+Programas!C12+Programas!C25+Programas!C38</f>
        <v>#REF!</v>
      </c>
      <c r="D15" s="280" t="e">
        <f>+C15*100/C8</f>
        <v>#REF!</v>
      </c>
    </row>
    <row r="16" spans="1:6" ht="15">
      <c r="A16" s="101">
        <v>6</v>
      </c>
      <c r="B16" s="102" t="s">
        <v>4</v>
      </c>
      <c r="C16" s="103">
        <f>+Programas!C13+Programas!C26</f>
        <v>83678222.521041676</v>
      </c>
      <c r="D16" s="280" t="e">
        <f>+C16*100/C8</f>
        <v>#REF!</v>
      </c>
    </row>
    <row r="17" spans="1:4" ht="15">
      <c r="A17" s="101">
        <v>7</v>
      </c>
      <c r="B17" s="102" t="s">
        <v>16</v>
      </c>
      <c r="C17" s="103">
        <f>+Programas!C39</f>
        <v>0</v>
      </c>
      <c r="D17" s="280" t="e">
        <f>+C17*100/C8</f>
        <v>#REF!</v>
      </c>
    </row>
    <row r="18" spans="1:4" ht="15">
      <c r="A18" s="101">
        <v>8</v>
      </c>
      <c r="B18" s="102" t="s">
        <v>196</v>
      </c>
      <c r="C18" s="103">
        <f>+Programas!C14+Programas!C27+Programas!C40</f>
        <v>10272522.539999999</v>
      </c>
      <c r="D18" s="280" t="e">
        <f>+C18*100/C8</f>
        <v>#REF!</v>
      </c>
    </row>
    <row r="19" spans="1:4" ht="15.75" thickBot="1">
      <c r="A19" s="104">
        <v>9</v>
      </c>
      <c r="B19" s="105" t="s">
        <v>198</v>
      </c>
      <c r="C19" s="106">
        <f>+Programas!C15+Programas!C28+Programas!C41</f>
        <v>0</v>
      </c>
      <c r="D19" s="281" t="e">
        <f>+C19*100/C8</f>
        <v>#REF!</v>
      </c>
    </row>
    <row r="21" spans="1:4">
      <c r="C21" s="238"/>
    </row>
    <row r="22" spans="1:4">
      <c r="C22" s="238"/>
    </row>
    <row r="24" spans="1:4">
      <c r="C24" s="238"/>
    </row>
    <row r="25" spans="1:4">
      <c r="C25" s="238"/>
    </row>
    <row r="26" spans="1:4">
      <c r="C26" s="391"/>
    </row>
    <row r="28" spans="1:4">
      <c r="A28" s="54" t="s">
        <v>336</v>
      </c>
      <c r="C28" s="244"/>
    </row>
    <row r="29" spans="1:4">
      <c r="A29" s="54" t="s">
        <v>1120</v>
      </c>
      <c r="C29" s="244"/>
    </row>
  </sheetData>
  <mergeCells count="5">
    <mergeCell ref="A8:B8"/>
    <mergeCell ref="A1:D1"/>
    <mergeCell ref="A2:D2"/>
    <mergeCell ref="A4:D4"/>
    <mergeCell ref="A5:D5"/>
  </mergeCells>
  <phoneticPr fontId="3" type="noConversion"/>
  <pageMargins left="0.78740157480314965" right="0.78740157480314965" top="0.39370078740157483" bottom="0.98425196850393704" header="0" footer="0"/>
  <pageSetup orientation="portrait" horizontalDpi="4294967294" verticalDpi="144" r:id="rId1"/>
  <headerFooter alignWithMargins="0">
    <oddHeader>&amp;R&amp;8 3</oddHeader>
    <oddFooter>&amp;L&amp;8&amp;Z&amp;F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202"/>
  <sheetViews>
    <sheetView zoomScale="80" zoomScaleNormal="80" workbookViewId="0">
      <selection activeCell="I17" sqref="I17"/>
    </sheetView>
  </sheetViews>
  <sheetFormatPr baseColWidth="10" defaultRowHeight="12.75"/>
  <cols>
    <col min="2" max="2" width="50" customWidth="1"/>
    <col min="3" max="3" width="22.28515625" customWidth="1"/>
    <col min="4" max="4" width="21.7109375" customWidth="1"/>
    <col min="5" max="5" width="21.42578125" customWidth="1"/>
    <col min="6" max="6" width="20.5703125" customWidth="1"/>
    <col min="7" max="7" width="20.7109375" customWidth="1"/>
    <col min="8" max="8" width="9.140625" customWidth="1"/>
    <col min="9" max="9" width="43.85546875" customWidth="1"/>
    <col min="10" max="10" width="20.140625" customWidth="1"/>
  </cols>
  <sheetData>
    <row r="1" spans="1:11" ht="15.75">
      <c r="F1" s="676">
        <v>4</v>
      </c>
    </row>
    <row r="2" spans="1:11" ht="15.75">
      <c r="B2" s="1024" t="s">
        <v>1350</v>
      </c>
      <c r="C2" s="1024"/>
      <c r="D2" s="1024"/>
      <c r="E2" s="1024"/>
      <c r="F2" s="1024"/>
    </row>
    <row r="3" spans="1:11" ht="15.75">
      <c r="B3" s="1024" t="s">
        <v>1167</v>
      </c>
      <c r="C3" s="1024"/>
      <c r="D3" s="1024"/>
      <c r="E3" s="1024"/>
      <c r="F3" s="1024"/>
    </row>
    <row r="4" spans="1:11" ht="15.75">
      <c r="B4" s="1024" t="s">
        <v>1152</v>
      </c>
      <c r="C4" s="1024"/>
      <c r="D4" s="1024"/>
      <c r="E4" s="1024"/>
      <c r="F4" s="1024"/>
      <c r="G4" s="538"/>
    </row>
    <row r="5" spans="1:11" ht="15.75">
      <c r="B5" s="565"/>
      <c r="C5" s="565"/>
      <c r="D5" s="565"/>
      <c r="E5" s="565"/>
      <c r="F5" s="538"/>
    </row>
    <row r="6" spans="1:11" ht="15">
      <c r="B6" s="566"/>
      <c r="C6" s="571"/>
      <c r="D6" s="571"/>
      <c r="E6" s="571"/>
      <c r="F6" s="238"/>
    </row>
    <row r="7" spans="1:11" ht="62.25" customHeight="1">
      <c r="B7" s="567"/>
      <c r="C7" s="568" t="s">
        <v>1153</v>
      </c>
      <c r="D7" s="568" t="s">
        <v>1154</v>
      </c>
      <c r="E7" s="568" t="s">
        <v>1155</v>
      </c>
      <c r="F7" s="568" t="s">
        <v>173</v>
      </c>
      <c r="G7" s="238"/>
      <c r="I7" s="882"/>
    </row>
    <row r="8" spans="1:11" ht="30.75" customHeight="1">
      <c r="B8" s="567" t="s">
        <v>1156</v>
      </c>
      <c r="C8" s="572">
        <f>+C9+C39+C91+C123+C128+C153+C169</f>
        <v>450211836.02689499</v>
      </c>
      <c r="D8" s="572">
        <f>+D9+D39+D91+D123+D128+D153+D169</f>
        <v>473739553.17658097</v>
      </c>
      <c r="E8" s="572">
        <f>+E9+E39+E91+E123+E128+E153+E160+E169</f>
        <v>2077134902.1368129</v>
      </c>
      <c r="F8" s="572">
        <f>+C8+D8+E8</f>
        <v>3001086291.3402891</v>
      </c>
      <c r="G8" s="238">
        <f>+'Ingreso Contraloría'!C7</f>
        <v>3001086291.3400002</v>
      </c>
    </row>
    <row r="9" spans="1:11" ht="15.75">
      <c r="A9" s="575">
        <v>0</v>
      </c>
      <c r="B9" s="575" t="s">
        <v>190</v>
      </c>
      <c r="C9" s="572">
        <f>+'Distribucion Programas I'!F9</f>
        <v>340683154.14908415</v>
      </c>
      <c r="D9" s="572">
        <f>+'Distribucion Programas II '!Q11</f>
        <v>302752052.52965844</v>
      </c>
      <c r="E9" s="572">
        <f>+E10+E17+E21+E29+E34</f>
        <v>502391191.25282407</v>
      </c>
      <c r="F9" s="573">
        <f>+C9+D9+E9</f>
        <v>1145826397.9315667</v>
      </c>
      <c r="G9" s="238">
        <f>+F8-G8</f>
        <v>2.8896331787109375E-4</v>
      </c>
      <c r="H9" s="238"/>
      <c r="I9" s="538"/>
    </row>
    <row r="10" spans="1:11" ht="15.75">
      <c r="A10" s="575" t="s">
        <v>218</v>
      </c>
      <c r="B10" s="575" t="s">
        <v>219</v>
      </c>
      <c r="C10" s="572">
        <f>+'Distribucion Programas I'!F10</f>
        <v>152506119.03709224</v>
      </c>
      <c r="D10" s="572">
        <f>+'Distribucion Programas II '!Q12</f>
        <v>170974130.41815183</v>
      </c>
      <c r="E10" s="572">
        <f>SUM(E11:E15)</f>
        <v>244765786.61947271</v>
      </c>
      <c r="F10" s="573">
        <f t="shared" ref="F10:F65" si="0">+C10+D10+E10</f>
        <v>568246036.07471681</v>
      </c>
      <c r="G10" s="238"/>
      <c r="H10" s="238"/>
      <c r="I10" s="776"/>
      <c r="J10" s="776"/>
      <c r="K10" s="776"/>
    </row>
    <row r="11" spans="1:11" s="8" customFormat="1" ht="15">
      <c r="A11" s="576" t="s">
        <v>296</v>
      </c>
      <c r="B11" s="576" t="s">
        <v>306</v>
      </c>
      <c r="C11" s="719">
        <f>+'Distribucion Programas I'!F11</f>
        <v>145115540.47247294</v>
      </c>
      <c r="D11" s="719">
        <f>+'Distribucion Programas II '!Q13</f>
        <v>97368937.019335076</v>
      </c>
      <c r="E11" s="719">
        <f>+'Distribucion Programas III UTGV'!C12</f>
        <v>124999446.63957407</v>
      </c>
      <c r="F11" s="571">
        <f t="shared" si="0"/>
        <v>367483924.13138205</v>
      </c>
      <c r="G11" s="238">
        <f>+'Distribucion Programas III UTGV'!C9+'Distrib Programas III Poyectos'!Y10</f>
        <v>2077134902.1368132</v>
      </c>
      <c r="H11" s="238"/>
      <c r="I11" s="818"/>
      <c r="J11" s="818"/>
      <c r="K11" s="818"/>
    </row>
    <row r="12" spans="1:11" s="8" customFormat="1" ht="15">
      <c r="A12" s="576" t="s">
        <v>297</v>
      </c>
      <c r="B12" s="576" t="s">
        <v>308</v>
      </c>
      <c r="C12" s="719">
        <f>+'Distribucion Programas I'!F12</f>
        <v>0</v>
      </c>
      <c r="D12" s="719">
        <f>+'Distribucion Programas II '!Q14</f>
        <v>2150000</v>
      </c>
      <c r="E12" s="719">
        <f>+'Distribucion Programas III UTGV'!C13+'Distrib Programas III Poyectos'!F10</f>
        <v>35000000</v>
      </c>
      <c r="F12" s="571">
        <f t="shared" si="0"/>
        <v>37150000</v>
      </c>
      <c r="G12" s="238"/>
      <c r="H12" s="238"/>
      <c r="I12" s="818"/>
      <c r="J12" s="818"/>
      <c r="K12" s="818"/>
    </row>
    <row r="13" spans="1:11" s="8" customFormat="1" ht="15">
      <c r="A13" s="576" t="s">
        <v>298</v>
      </c>
      <c r="B13" s="576" t="s">
        <v>307</v>
      </c>
      <c r="C13" s="719">
        <f>+'Distribucion Programas I'!F13</f>
        <v>0</v>
      </c>
      <c r="D13" s="719">
        <f>+'Distribucion Programas II '!Q15</f>
        <v>62052057.343768336</v>
      </c>
      <c r="E13" s="719">
        <f>+'Distribucion Programas III UTGV'!C14</f>
        <v>76163742.285981715</v>
      </c>
      <c r="F13" s="571">
        <f t="shared" si="0"/>
        <v>138215799.62975004</v>
      </c>
      <c r="G13" s="238">
        <f>+G11-E8</f>
        <v>0</v>
      </c>
      <c r="H13" s="238"/>
      <c r="I13" s="818"/>
      <c r="J13" s="818"/>
      <c r="K13" s="818"/>
    </row>
    <row r="14" spans="1:11" s="8" customFormat="1" ht="15.75">
      <c r="A14" s="576" t="s">
        <v>299</v>
      </c>
      <c r="B14" s="576" t="s">
        <v>309</v>
      </c>
      <c r="C14" s="719">
        <f>+'Distribucion Programas I'!F14</f>
        <v>0</v>
      </c>
      <c r="D14" s="719">
        <f>+'Distribucion Programas II '!Q16</f>
        <v>0</v>
      </c>
      <c r="E14" s="719">
        <f>+'Distribucion Programas III UTGV'!C15</f>
        <v>0</v>
      </c>
      <c r="F14" s="573">
        <f t="shared" si="0"/>
        <v>0</v>
      </c>
      <c r="G14" s="238"/>
      <c r="H14" s="238"/>
      <c r="I14" s="818"/>
      <c r="J14" s="818"/>
      <c r="K14" s="818"/>
    </row>
    <row r="15" spans="1:11" s="8" customFormat="1" ht="15">
      <c r="A15" s="576" t="s">
        <v>300</v>
      </c>
      <c r="B15" s="576" t="s">
        <v>310</v>
      </c>
      <c r="C15" s="719">
        <f>+'Distribucion Programas I'!F15</f>
        <v>7390578.5646192888</v>
      </c>
      <c r="D15" s="719">
        <f>+'Distribucion Programas II '!Q17</f>
        <v>9403136.0550483931</v>
      </c>
      <c r="E15" s="719">
        <f>+'Distribucion Programas III UTGV'!C16</f>
        <v>8602597.6939169522</v>
      </c>
      <c r="F15" s="571">
        <f t="shared" si="0"/>
        <v>25396312.313584633</v>
      </c>
      <c r="G15" s="238"/>
      <c r="H15" s="238"/>
      <c r="I15" s="818"/>
      <c r="J15" s="818"/>
      <c r="K15" s="818"/>
    </row>
    <row r="16" spans="1:11" ht="15.75">
      <c r="A16" s="577"/>
      <c r="B16" s="578"/>
      <c r="C16" s="572">
        <f>+'Distribucion Programas I'!F16</f>
        <v>0</v>
      </c>
      <c r="D16" s="572">
        <f>+'Distribucion Programas II '!Q18</f>
        <v>0</v>
      </c>
      <c r="E16" s="572">
        <f>+'Distribucion Programas III UTGV'!C17</f>
        <v>0</v>
      </c>
      <c r="F16" s="573">
        <f t="shared" si="0"/>
        <v>0</v>
      </c>
      <c r="G16" s="238"/>
      <c r="H16" s="238"/>
      <c r="I16" s="776"/>
      <c r="J16" s="776"/>
      <c r="K16" s="776"/>
    </row>
    <row r="17" spans="1:11" ht="15.75">
      <c r="A17" s="575" t="s">
        <v>220</v>
      </c>
      <c r="B17" s="575" t="s">
        <v>221</v>
      </c>
      <c r="C17" s="572">
        <f>+'Distribucion Programas I'!F17</f>
        <v>16504000</v>
      </c>
      <c r="D17" s="572">
        <f>+'Distribucion Programas II '!Q19</f>
        <v>11281871.85</v>
      </c>
      <c r="E17" s="572">
        <f>+E18</f>
        <v>60000000</v>
      </c>
      <c r="F17" s="573">
        <f t="shared" si="0"/>
        <v>87785871.849999994</v>
      </c>
      <c r="G17" s="238"/>
      <c r="H17" s="238"/>
      <c r="I17" s="776"/>
      <c r="J17" s="776"/>
      <c r="K17" s="776"/>
    </row>
    <row r="18" spans="1:11" s="8" customFormat="1" ht="15">
      <c r="A18" s="576" t="s">
        <v>301</v>
      </c>
      <c r="B18" s="576" t="s">
        <v>902</v>
      </c>
      <c r="C18" s="719">
        <f>+'Distribucion Programas I'!F18</f>
        <v>1000000</v>
      </c>
      <c r="D18" s="719">
        <f>+'Distribucion Programas II '!Q20</f>
        <v>11281871.85</v>
      </c>
      <c r="E18" s="719">
        <f>+'Distribucion Programas III UTGV'!C19+'Distrib Programas III Poyectos'!N10</f>
        <v>60000000</v>
      </c>
      <c r="F18" s="571">
        <f t="shared" si="0"/>
        <v>72281871.849999994</v>
      </c>
      <c r="G18" s="238"/>
      <c r="H18" s="238"/>
      <c r="I18" s="818"/>
      <c r="J18" s="818"/>
      <c r="K18" s="818"/>
    </row>
    <row r="19" spans="1:11" s="8" customFormat="1" ht="15">
      <c r="A19" s="576" t="s">
        <v>305</v>
      </c>
      <c r="B19" s="576" t="s">
        <v>906</v>
      </c>
      <c r="C19" s="719">
        <f>+'Distribucion Programas I'!F22</f>
        <v>15504000</v>
      </c>
      <c r="D19" s="719">
        <f>+'Distribucion Programas II '!Q24</f>
        <v>0</v>
      </c>
      <c r="E19" s="719">
        <f>+'Distribucion Programas III UTGV'!C23</f>
        <v>0</v>
      </c>
      <c r="F19" s="571">
        <f t="shared" si="0"/>
        <v>15504000</v>
      </c>
      <c r="G19" s="238"/>
      <c r="H19" s="238"/>
      <c r="I19" s="818"/>
      <c r="J19" s="818"/>
      <c r="K19" s="818"/>
    </row>
    <row r="20" spans="1:11" ht="15.75">
      <c r="A20" s="577"/>
      <c r="B20" s="578"/>
      <c r="C20" s="572">
        <f>+'Distribucion Programas I'!F23</f>
        <v>0</v>
      </c>
      <c r="D20" s="572">
        <f>+'Distribucion Programas II '!Q25</f>
        <v>0</v>
      </c>
      <c r="E20" s="572">
        <f>+'Distribucion Programas III UTGV'!C24</f>
        <v>0</v>
      </c>
      <c r="F20" s="573">
        <f t="shared" si="0"/>
        <v>0</v>
      </c>
      <c r="G20" s="238"/>
      <c r="H20" s="238"/>
      <c r="I20" s="776"/>
      <c r="J20" s="776"/>
      <c r="K20" s="776"/>
    </row>
    <row r="21" spans="1:11" ht="15.75">
      <c r="A21" s="575" t="s">
        <v>222</v>
      </c>
      <c r="B21" s="575" t="s">
        <v>223</v>
      </c>
      <c r="C21" s="572">
        <f>+'Distribucion Programas I'!F24</f>
        <v>122069435.32653838</v>
      </c>
      <c r="D21" s="572">
        <f>+'Distribucion Programas II '!Q26</f>
        <v>74261144.668789417</v>
      </c>
      <c r="E21" s="572">
        <f>SUM(E22:E25)</f>
        <v>120987461.82313406</v>
      </c>
      <c r="F21" s="573">
        <f t="shared" si="0"/>
        <v>317318041.81846189</v>
      </c>
      <c r="G21" s="238"/>
      <c r="H21" s="238"/>
      <c r="I21" s="776"/>
      <c r="J21" s="776"/>
      <c r="K21" s="776"/>
    </row>
    <row r="22" spans="1:11" s="8" customFormat="1" ht="15">
      <c r="A22" s="576" t="s">
        <v>311</v>
      </c>
      <c r="B22" s="576" t="s">
        <v>316</v>
      </c>
      <c r="C22" s="719">
        <f>+'Distribucion Programas I'!F25</f>
        <v>41977834.188589536</v>
      </c>
      <c r="D22" s="719">
        <f>+'Distribucion Programas II '!Q27</f>
        <v>27889728.415954698</v>
      </c>
      <c r="E22" s="719">
        <f>+'Distribucion Programas III UTGV'!C26</f>
        <v>49227941.089777224</v>
      </c>
      <c r="F22" s="571">
        <f t="shared" si="0"/>
        <v>119095503.69432145</v>
      </c>
      <c r="G22" s="238"/>
      <c r="H22" s="238"/>
      <c r="I22" s="818"/>
      <c r="J22" s="818"/>
      <c r="K22" s="818"/>
    </row>
    <row r="23" spans="1:11" s="8" customFormat="1" ht="15">
      <c r="A23" s="576" t="s">
        <v>312</v>
      </c>
      <c r="B23" s="576" t="s">
        <v>317</v>
      </c>
      <c r="C23" s="719">
        <f>+'Distribucion Programas I'!F26</f>
        <v>39637069.786793962</v>
      </c>
      <c r="D23" s="719">
        <f>+'Distribucion Programas II '!Q28</f>
        <v>9007684.5426556356</v>
      </c>
      <c r="E23" s="719">
        <f>+'Distribucion Programas III UTGV'!C27</f>
        <v>9270059.4563359022</v>
      </c>
      <c r="F23" s="571">
        <f t="shared" si="0"/>
        <v>57914813.785785496</v>
      </c>
      <c r="G23" s="238"/>
      <c r="H23" s="238"/>
      <c r="I23" s="818"/>
      <c r="J23" s="818"/>
      <c r="K23" s="818"/>
    </row>
    <row r="24" spans="1:11" s="8" customFormat="1" ht="15">
      <c r="A24" s="576" t="s">
        <v>313</v>
      </c>
      <c r="B24" s="576" t="s">
        <v>318</v>
      </c>
      <c r="C24" s="719">
        <f>+'Distribucion Programas I'!F27</f>
        <v>21198119.566433124</v>
      </c>
      <c r="D24" s="719">
        <f>+'Distribucion Programas II '!Q29</f>
        <v>19758506.661152832</v>
      </c>
      <c r="E24" s="719">
        <f>+'Distribucion Programas III UTGV'!C28+'Distrib Programas III Poyectos'!H10</f>
        <v>32738157.108159468</v>
      </c>
      <c r="F24" s="571">
        <f t="shared" si="0"/>
        <v>73694783.335745424</v>
      </c>
      <c r="G24" s="238"/>
      <c r="H24" s="238"/>
      <c r="I24" s="818"/>
      <c r="J24" s="818"/>
      <c r="K24" s="818"/>
    </row>
    <row r="25" spans="1:11" s="8" customFormat="1" ht="15">
      <c r="A25" s="576" t="s">
        <v>314</v>
      </c>
      <c r="B25" s="576" t="s">
        <v>319</v>
      </c>
      <c r="C25" s="719">
        <f>+'Distribucion Programas I'!F28</f>
        <v>19256411.784721762</v>
      </c>
      <c r="D25" s="719">
        <f>+'Distribucion Programas II '!Q30</f>
        <v>17948664.707071822</v>
      </c>
      <c r="E25" s="719">
        <f>+'Distribucion Programas III UTGV'!C29+'Distrib Programas III Poyectos'!I10</f>
        <v>29751304.168861482</v>
      </c>
      <c r="F25" s="571">
        <f t="shared" si="0"/>
        <v>66956380.660655066</v>
      </c>
      <c r="G25" s="238"/>
      <c r="H25" s="238"/>
      <c r="I25" s="818"/>
      <c r="J25" s="818"/>
      <c r="K25" s="818"/>
    </row>
    <row r="26" spans="1:11" s="8" customFormat="1" ht="15">
      <c r="A26" s="576" t="s">
        <v>315</v>
      </c>
      <c r="B26" s="576" t="s">
        <v>320</v>
      </c>
      <c r="C26" s="719">
        <f>+'Distribucion Programas I'!F29</f>
        <v>0</v>
      </c>
      <c r="D26" s="719">
        <f>+'Distribucion Programas II '!Q31</f>
        <v>0</v>
      </c>
      <c r="E26" s="719">
        <f>+'Distribucion Programas III UTGV'!C30</f>
        <v>0</v>
      </c>
      <c r="F26" s="571">
        <f t="shared" si="0"/>
        <v>0</v>
      </c>
      <c r="G26" s="238"/>
      <c r="H26" s="238"/>
      <c r="I26" s="818"/>
      <c r="J26" s="818"/>
      <c r="K26" s="818"/>
    </row>
    <row r="27" spans="1:11" s="8" customFormat="1" ht="15.75">
      <c r="A27" s="576"/>
      <c r="B27" s="576"/>
      <c r="C27" s="719">
        <f>+'Distribucion Programas I'!F30</f>
        <v>0</v>
      </c>
      <c r="D27" s="719">
        <f>+'Distribucion Programas II '!Q32</f>
        <v>0</v>
      </c>
      <c r="E27" s="719">
        <f>+'Distribucion Programas III UTGV'!C31</f>
        <v>0</v>
      </c>
      <c r="F27" s="573">
        <f t="shared" si="0"/>
        <v>0</v>
      </c>
      <c r="G27" s="238"/>
      <c r="H27" s="238"/>
      <c r="I27" s="818"/>
      <c r="J27" s="818"/>
      <c r="K27" s="818"/>
    </row>
    <row r="28" spans="1:11" ht="15.75">
      <c r="A28" s="577" t="s">
        <v>224</v>
      </c>
      <c r="B28" s="578"/>
      <c r="C28" s="572">
        <f>+'Distribucion Programas I'!F31</f>
        <v>0</v>
      </c>
      <c r="D28" s="572"/>
      <c r="E28" s="572"/>
      <c r="F28" s="573">
        <f t="shared" si="0"/>
        <v>0</v>
      </c>
      <c r="G28" s="238"/>
      <c r="H28" s="238"/>
      <c r="I28" s="776"/>
      <c r="J28" s="776"/>
      <c r="K28" s="776"/>
    </row>
    <row r="29" spans="1:11" ht="25.5">
      <c r="A29" s="575" t="s">
        <v>321</v>
      </c>
      <c r="B29" s="579" t="s">
        <v>346</v>
      </c>
      <c r="C29" s="572">
        <f>+'Distribucion Programas I'!F32</f>
        <v>24801799.892726753</v>
      </c>
      <c r="D29" s="572">
        <f>+'Distribucion Programas II '!Q33</f>
        <v>23117452.801358599</v>
      </c>
      <c r="E29" s="572">
        <f>SUM(E30:E31)</f>
        <v>38318971.405108616</v>
      </c>
      <c r="F29" s="573">
        <f t="shared" si="0"/>
        <v>86238224.09919396</v>
      </c>
      <c r="G29" s="238"/>
      <c r="H29" s="238"/>
      <c r="I29" s="776"/>
      <c r="J29" s="776"/>
      <c r="K29" s="776"/>
    </row>
    <row r="30" spans="1:11" s="8" customFormat="1" ht="25.5">
      <c r="A30" s="576" t="s">
        <v>322</v>
      </c>
      <c r="B30" s="576" t="s">
        <v>443</v>
      </c>
      <c r="C30" s="719">
        <f>+'Distribucion Programas I'!F33</f>
        <v>23529912.718740765</v>
      </c>
      <c r="D30" s="719">
        <f>+'Distribucion Programas II '!Q34</f>
        <v>21931942.393879645</v>
      </c>
      <c r="E30" s="719">
        <f>+'Distribucion Programas III UTGV'!C33+'Distrib Programas III Poyectos'!J10</f>
        <v>36353895.948436379</v>
      </c>
      <c r="F30" s="571">
        <f t="shared" si="0"/>
        <v>81815751.061056793</v>
      </c>
      <c r="G30" s="238"/>
      <c r="H30" s="238"/>
      <c r="I30" s="818"/>
      <c r="J30" s="818"/>
      <c r="K30" s="818"/>
    </row>
    <row r="31" spans="1:11" s="8" customFormat="1" ht="25.5">
      <c r="A31" s="576" t="s">
        <v>326</v>
      </c>
      <c r="B31" s="576" t="s">
        <v>447</v>
      </c>
      <c r="C31" s="719">
        <f>+'Distribucion Programas I'!F37</f>
        <v>1271887.1739859874</v>
      </c>
      <c r="D31" s="719">
        <f>+'Distribucion Programas II '!Q38</f>
        <v>1185510.3996691699</v>
      </c>
      <c r="E31" s="719">
        <f>+'Distribucion Programas III UTGV'!C37+'Distrib Programas III Poyectos'!K10</f>
        <v>1965075.456672237</v>
      </c>
      <c r="F31" s="571">
        <f t="shared" si="0"/>
        <v>4422473.0303273946</v>
      </c>
      <c r="G31" s="238"/>
      <c r="H31" s="238"/>
      <c r="I31" s="818"/>
      <c r="J31" s="818"/>
      <c r="K31" s="818"/>
    </row>
    <row r="32" spans="1:11" ht="15.75">
      <c r="A32" s="576"/>
      <c r="B32" s="576"/>
      <c r="C32" s="572">
        <f>+'Distribucion Programas I'!F38</f>
        <v>0</v>
      </c>
      <c r="D32" s="572">
        <f>+'Distribucion Programas II '!Q39</f>
        <v>0</v>
      </c>
      <c r="E32" s="572">
        <f>+'Distribucion Programas III UTGV'!C38</f>
        <v>0</v>
      </c>
      <c r="F32" s="571">
        <f t="shared" si="0"/>
        <v>0</v>
      </c>
      <c r="G32" s="238"/>
      <c r="H32" s="238"/>
      <c r="I32" s="538"/>
    </row>
    <row r="33" spans="1:10" ht="15.75">
      <c r="A33" s="576" t="s">
        <v>224</v>
      </c>
      <c r="B33" s="576"/>
      <c r="C33" s="572">
        <f>+'Distribucion Programas I'!F39</f>
        <v>0</v>
      </c>
      <c r="D33" s="572"/>
      <c r="E33" s="572"/>
      <c r="F33" s="573">
        <f t="shared" si="0"/>
        <v>0</v>
      </c>
      <c r="G33" s="238"/>
      <c r="H33" s="238"/>
      <c r="I33" s="538"/>
      <c r="J33">
        <v>1158129.52</v>
      </c>
    </row>
    <row r="34" spans="1:10" ht="25.5">
      <c r="A34" s="575" t="s">
        <v>327</v>
      </c>
      <c r="B34" s="579" t="s">
        <v>980</v>
      </c>
      <c r="C34" s="572">
        <f>+'Distribucion Programas I'!F40</f>
        <v>24801799.892726753</v>
      </c>
      <c r="D34" s="572">
        <f>+'Distribucion Programas II '!Q40</f>
        <v>23117452.791358601</v>
      </c>
      <c r="E34" s="572">
        <f>+E35+E36+E37</f>
        <v>38318971.405108616</v>
      </c>
      <c r="F34" s="573">
        <f t="shared" si="0"/>
        <v>86238224.08919397</v>
      </c>
      <c r="G34" s="238"/>
      <c r="H34" s="238"/>
      <c r="J34">
        <v>3</v>
      </c>
    </row>
    <row r="35" spans="1:10" s="8" customFormat="1" ht="26.25">
      <c r="A35" s="576" t="s">
        <v>329</v>
      </c>
      <c r="B35" s="576" t="s">
        <v>342</v>
      </c>
      <c r="C35" s="719">
        <f>+'Distribucion Programas I'!F41</f>
        <v>13354815.326852867</v>
      </c>
      <c r="D35" s="719">
        <f>+'Distribucion Programas II '!Q41</f>
        <v>0</v>
      </c>
      <c r="E35" s="719">
        <f>+'Distribucion Programas III UTGV'!C41</f>
        <v>20633292.295058485</v>
      </c>
      <c r="F35" s="573">
        <f t="shared" si="0"/>
        <v>33988107.621911354</v>
      </c>
      <c r="G35" s="238"/>
      <c r="H35" s="238"/>
    </row>
    <row r="36" spans="1:10" s="8" customFormat="1" ht="25.5">
      <c r="A36" s="576" t="s">
        <v>330</v>
      </c>
      <c r="B36" s="576" t="s">
        <v>343</v>
      </c>
      <c r="C36" s="719">
        <f>+'Distribucion Programas I'!F42</f>
        <v>3815661.5219579623</v>
      </c>
      <c r="D36" s="719">
        <f>+'Distribucion Programas II '!Q43</f>
        <v>3556531.1990075097</v>
      </c>
      <c r="E36" s="719">
        <f>+'Distribucion Programas III UTGV'!C42+'Distrib Programas III Poyectos'!L10</f>
        <v>5895226.3700167108</v>
      </c>
      <c r="F36" s="571">
        <f t="shared" si="0"/>
        <v>13267419.090982184</v>
      </c>
      <c r="G36" s="238"/>
      <c r="H36" s="238"/>
      <c r="I36" s="818"/>
    </row>
    <row r="37" spans="1:10" s="8" customFormat="1" ht="15">
      <c r="A37" s="576" t="s">
        <v>331</v>
      </c>
      <c r="B37" s="576" t="s">
        <v>341</v>
      </c>
      <c r="C37" s="719">
        <f>+'Distribucion Programas I'!F43</f>
        <v>7631323.0439159246</v>
      </c>
      <c r="D37" s="719">
        <f>+'Distribucion Programas II '!Q44</f>
        <v>7113062.3980150195</v>
      </c>
      <c r="E37" s="719">
        <f>+'Distribucion Programas III UTGV'!C43+'Distrib Programas III Poyectos'!M10</f>
        <v>11790452.740033422</v>
      </c>
      <c r="F37" s="571">
        <f t="shared" si="0"/>
        <v>26534838.181964368</v>
      </c>
      <c r="G37" s="238"/>
      <c r="H37" s="238"/>
    </row>
    <row r="38" spans="1:10" ht="15.75">
      <c r="A38" s="577"/>
      <c r="B38" s="578"/>
      <c r="C38" s="572">
        <f>+'Distribucion Programas I'!F50</f>
        <v>0</v>
      </c>
      <c r="D38" s="572">
        <f>+'Distribucion Programas II '!Q51</f>
        <v>0</v>
      </c>
      <c r="E38" s="572">
        <f>+'Distribucion Programas III UTGV'!C50</f>
        <v>0</v>
      </c>
      <c r="F38" s="573">
        <f t="shared" si="0"/>
        <v>0</v>
      </c>
      <c r="G38" s="238"/>
      <c r="H38" s="238"/>
    </row>
    <row r="39" spans="1:10" ht="15.75">
      <c r="A39" s="716">
        <v>1</v>
      </c>
      <c r="B39" s="717" t="s">
        <v>448</v>
      </c>
      <c r="C39" s="572">
        <f>+'Distribucion Programas I'!F51</f>
        <v>14898151.782769172</v>
      </c>
      <c r="D39" s="572">
        <f>+'Distribucion Programas II '!Q52</f>
        <v>70484592.640922517</v>
      </c>
      <c r="E39" s="572">
        <f>+E40+E43+E49+E55+E63+E71+E74+E77+E85+E88</f>
        <v>133129153.44398892</v>
      </c>
      <c r="F39" s="573">
        <f t="shared" si="0"/>
        <v>218511897.86768061</v>
      </c>
      <c r="G39" s="238"/>
      <c r="H39" s="238"/>
      <c r="I39" s="855"/>
    </row>
    <row r="40" spans="1:10" ht="15.75">
      <c r="A40" s="575" t="s">
        <v>226</v>
      </c>
      <c r="B40" s="575" t="s">
        <v>973</v>
      </c>
      <c r="C40" s="572">
        <f>+'Distribucion Programas I'!F52</f>
        <v>0</v>
      </c>
      <c r="D40" s="572">
        <f>+'Distribucion Programas II '!Q53</f>
        <v>2000000</v>
      </c>
      <c r="E40" s="572">
        <f>+E41</f>
        <v>7892822.7300000004</v>
      </c>
      <c r="F40" s="571">
        <f t="shared" si="0"/>
        <v>9892822.7300000004</v>
      </c>
      <c r="G40" s="238"/>
      <c r="H40" s="238"/>
    </row>
    <row r="41" spans="1:10" s="8" customFormat="1" ht="15">
      <c r="A41" s="576" t="s">
        <v>450</v>
      </c>
      <c r="B41" s="576" t="s">
        <v>455</v>
      </c>
      <c r="C41" s="719">
        <f>+'Distribucion Programas I'!F54</f>
        <v>0</v>
      </c>
      <c r="D41" s="719">
        <f>+'Distribucion Programas II '!Q55</f>
        <v>2000000</v>
      </c>
      <c r="E41" s="719">
        <f>+'Distribucion Programas III UTGV'!C54+'Distrib Programas III Poyectos'!O10</f>
        <v>7892822.7300000004</v>
      </c>
      <c r="F41" s="571">
        <f t="shared" si="0"/>
        <v>9892822.7300000004</v>
      </c>
      <c r="G41" s="238"/>
      <c r="H41" s="238"/>
      <c r="I41" s="883"/>
    </row>
    <row r="42" spans="1:10" ht="17.25" customHeight="1">
      <c r="A42" s="577"/>
      <c r="B42" s="578"/>
      <c r="C42" s="572">
        <f>+'Distribucion Programas I'!F58</f>
        <v>0</v>
      </c>
      <c r="D42" s="572">
        <f>+'Distribucion Programas II '!Q59</f>
        <v>0</v>
      </c>
      <c r="E42" s="572">
        <f>+'Distribucion Programas III UTGV'!C58</f>
        <v>0</v>
      </c>
      <c r="F42" s="573">
        <f t="shared" si="0"/>
        <v>0</v>
      </c>
      <c r="G42" s="238"/>
      <c r="H42" s="238"/>
    </row>
    <row r="43" spans="1:10" ht="17.25" customHeight="1">
      <c r="A43" s="575" t="s">
        <v>227</v>
      </c>
      <c r="B43" s="575" t="s">
        <v>228</v>
      </c>
      <c r="C43" s="572">
        <f>+'Distribucion Programas I'!F59</f>
        <v>3050000</v>
      </c>
      <c r="D43" s="572">
        <f>+'Distribucion Programas II '!Q60</f>
        <v>26441496.420000002</v>
      </c>
      <c r="E43" s="572">
        <f>+'Distribucion Programas III UTGV'!C59</f>
        <v>8000000</v>
      </c>
      <c r="F43" s="573">
        <f t="shared" si="0"/>
        <v>37491496.420000002</v>
      </c>
      <c r="G43" s="238"/>
      <c r="H43" s="238"/>
    </row>
    <row r="44" spans="1:10" s="8" customFormat="1" ht="17.25" customHeight="1">
      <c r="A44" s="576" t="s">
        <v>459</v>
      </c>
      <c r="B44" s="576" t="s">
        <v>464</v>
      </c>
      <c r="C44" s="719">
        <f>+'Distribucion Programas I'!F60</f>
        <v>1000000</v>
      </c>
      <c r="D44" s="719">
        <f>+'Distribucion Programas II '!Q61</f>
        <v>2500000</v>
      </c>
      <c r="E44" s="719">
        <f>+'Distribucion Programas III UTGV'!C60</f>
        <v>2500000</v>
      </c>
      <c r="F44" s="571">
        <f t="shared" si="0"/>
        <v>6000000</v>
      </c>
      <c r="G44" s="238"/>
      <c r="H44" s="238"/>
    </row>
    <row r="45" spans="1:10" s="8" customFormat="1" ht="17.25" customHeight="1">
      <c r="A45" s="576" t="s">
        <v>460</v>
      </c>
      <c r="B45" s="576" t="s">
        <v>465</v>
      </c>
      <c r="C45" s="719">
        <f>+'Distribucion Programas I'!F61</f>
        <v>1000000</v>
      </c>
      <c r="D45" s="719">
        <f>+'Distribucion Programas II '!Q62</f>
        <v>4466800</v>
      </c>
      <c r="E45" s="719">
        <f>+'Distribucion Programas III UTGV'!C61</f>
        <v>3500000</v>
      </c>
      <c r="F45" s="571">
        <f t="shared" si="0"/>
        <v>8966800</v>
      </c>
      <c r="G45" s="238"/>
      <c r="H45" s="238"/>
    </row>
    <row r="46" spans="1:10" s="8" customFormat="1" ht="17.25" customHeight="1">
      <c r="A46" s="576" t="s">
        <v>462</v>
      </c>
      <c r="B46" s="576" t="s">
        <v>467</v>
      </c>
      <c r="C46" s="719">
        <f>+'Distribucion Programas I'!F63</f>
        <v>1000000</v>
      </c>
      <c r="D46" s="719">
        <f>+'Distribucion Programas II '!Q64</f>
        <v>3550000</v>
      </c>
      <c r="E46" s="719">
        <f>+'Distribucion Programas III UTGV'!C63</f>
        <v>2000000</v>
      </c>
      <c r="F46" s="571">
        <f t="shared" si="0"/>
        <v>6550000</v>
      </c>
      <c r="G46" s="238"/>
      <c r="H46" s="238"/>
    </row>
    <row r="47" spans="1:10" s="8" customFormat="1" ht="17.25" customHeight="1">
      <c r="A47" s="576" t="s">
        <v>463</v>
      </c>
      <c r="B47" s="576" t="s">
        <v>468</v>
      </c>
      <c r="C47" s="719">
        <f>+'Distribucion Programas I'!F64</f>
        <v>0</v>
      </c>
      <c r="D47" s="719">
        <f>+'Distribucion Programas II '!Q65</f>
        <v>15924696.42</v>
      </c>
      <c r="E47" s="719">
        <f>+'Distribucion Programas III UTGV'!C64</f>
        <v>0</v>
      </c>
      <c r="F47" s="571">
        <f t="shared" si="0"/>
        <v>15924696.42</v>
      </c>
      <c r="G47" s="238"/>
      <c r="H47" s="238"/>
    </row>
    <row r="48" spans="1:10" ht="17.25" customHeight="1">
      <c r="A48" s="577"/>
      <c r="B48" s="578"/>
      <c r="C48" s="572">
        <f>+'Distribucion Programas I'!F65</f>
        <v>0</v>
      </c>
      <c r="D48" s="572">
        <f>+'Distribucion Programas II '!Q66</f>
        <v>0</v>
      </c>
      <c r="E48" s="572">
        <f>+'Distribucion Programas III UTGV'!C65</f>
        <v>0</v>
      </c>
      <c r="F48" s="573">
        <f t="shared" si="0"/>
        <v>0</v>
      </c>
      <c r="G48" s="238"/>
      <c r="H48" s="238"/>
    </row>
    <row r="49" spans="1:8" ht="17.25" customHeight="1">
      <c r="A49" s="575" t="s">
        <v>229</v>
      </c>
      <c r="B49" s="575" t="s">
        <v>230</v>
      </c>
      <c r="C49" s="572">
        <f>+'Distribucion Programas I'!F66</f>
        <v>50000</v>
      </c>
      <c r="D49" s="572">
        <f>+'Distribucion Programas II '!Q67</f>
        <v>9911322.8399999999</v>
      </c>
      <c r="E49" s="572">
        <f>+'Distribucion Programas III UTGV'!C66</f>
        <v>2600000</v>
      </c>
      <c r="F49" s="573">
        <f t="shared" si="0"/>
        <v>12561322.84</v>
      </c>
      <c r="G49" s="238"/>
      <c r="H49" s="238"/>
    </row>
    <row r="50" spans="1:8" s="8" customFormat="1" ht="17.25" customHeight="1">
      <c r="A50" s="576" t="s">
        <v>469</v>
      </c>
      <c r="B50" s="576" t="s">
        <v>475</v>
      </c>
      <c r="C50" s="719">
        <f>+'Distribucion Programas I'!F67</f>
        <v>0</v>
      </c>
      <c r="D50" s="719">
        <f>+'Distribucion Programas II '!Q68</f>
        <v>3019601.61</v>
      </c>
      <c r="E50" s="719">
        <f>+'Distribucion Programas III UTGV'!C67</f>
        <v>600000</v>
      </c>
      <c r="F50" s="571">
        <f t="shared" si="0"/>
        <v>3619601.61</v>
      </c>
      <c r="G50" s="238"/>
      <c r="H50" s="238"/>
    </row>
    <row r="51" spans="1:8" s="8" customFormat="1" ht="17.25" customHeight="1">
      <c r="A51" s="576" t="s">
        <v>470</v>
      </c>
      <c r="B51" s="576" t="s">
        <v>476</v>
      </c>
      <c r="C51" s="719">
        <f>+'Distribucion Programas I'!F68</f>
        <v>0</v>
      </c>
      <c r="D51" s="719">
        <f>+'Distribucion Programas II '!Q69</f>
        <v>2180000</v>
      </c>
      <c r="E51" s="719">
        <f>+'Distribucion Programas III UTGV'!C68</f>
        <v>500000</v>
      </c>
      <c r="F51" s="571">
        <f t="shared" si="0"/>
        <v>2680000</v>
      </c>
      <c r="G51" s="238"/>
      <c r="H51" s="238"/>
    </row>
    <row r="52" spans="1:8" s="8" customFormat="1" ht="17.25" customHeight="1">
      <c r="A52" s="576" t="s">
        <v>471</v>
      </c>
      <c r="B52" s="576" t="s">
        <v>477</v>
      </c>
      <c r="C52" s="719">
        <f>+'Distribucion Programas I'!F69</f>
        <v>50000</v>
      </c>
      <c r="D52" s="719">
        <f>+'Distribucion Programas II '!Q70</f>
        <v>1571747.23</v>
      </c>
      <c r="E52" s="719">
        <f>+'Distribucion Programas III UTGV'!C69</f>
        <v>1000000</v>
      </c>
      <c r="F52" s="571">
        <f t="shared" si="0"/>
        <v>2621747.23</v>
      </c>
      <c r="G52" s="238"/>
      <c r="H52" s="238"/>
    </row>
    <row r="53" spans="1:8" s="8" customFormat="1" ht="17.25" customHeight="1">
      <c r="A53" s="576" t="str">
        <f>+'Distribucion Programas III UTGV'!A73</f>
        <v xml:space="preserve">1.03.07      </v>
      </c>
      <c r="B53" s="576" t="str">
        <f>+'Distribucion Programas III UTGV'!B73</f>
        <v>Servicios de transferencia electrónica de información</v>
      </c>
      <c r="C53" s="719"/>
      <c r="D53" s="719"/>
      <c r="E53" s="719">
        <f>+'Distribucion Programas III UTGV'!C73</f>
        <v>0</v>
      </c>
      <c r="F53" s="571">
        <f t="shared" si="0"/>
        <v>0</v>
      </c>
      <c r="G53" s="238"/>
      <c r="H53" s="238"/>
    </row>
    <row r="54" spans="1:8" ht="17.25" customHeight="1">
      <c r="A54" s="576"/>
      <c r="B54" s="576"/>
      <c r="C54" s="572">
        <f>+'Distribucion Programas I'!F74</f>
        <v>0</v>
      </c>
      <c r="D54" s="572">
        <f>+'Distribucion Programas II '!Q75</f>
        <v>0</v>
      </c>
      <c r="E54" s="572">
        <f>+'Distribucion Programas III UTGV'!C74</f>
        <v>0</v>
      </c>
      <c r="F54" s="573">
        <f t="shared" si="0"/>
        <v>0</v>
      </c>
      <c r="G54" s="238"/>
      <c r="H54" s="238"/>
    </row>
    <row r="55" spans="1:8" ht="17.25" customHeight="1">
      <c r="A55" s="575" t="s">
        <v>231</v>
      </c>
      <c r="B55" s="575" t="s">
        <v>232</v>
      </c>
      <c r="C55" s="572">
        <f>+'Distribucion Programas I'!F75</f>
        <v>1000000</v>
      </c>
      <c r="D55" s="572">
        <f>+'Distribucion Programas II '!Q76</f>
        <v>3096400.51</v>
      </c>
      <c r="E55" s="572">
        <f>SUM(E56:E61)</f>
        <v>9500000</v>
      </c>
      <c r="F55" s="573">
        <f t="shared" si="0"/>
        <v>13596400.51</v>
      </c>
      <c r="G55" s="238"/>
      <c r="H55" s="238"/>
    </row>
    <row r="56" spans="1:8" s="8" customFormat="1" ht="17.25" customHeight="1">
      <c r="A56" s="576" t="s">
        <v>485</v>
      </c>
      <c r="B56" s="576" t="s">
        <v>492</v>
      </c>
      <c r="C56" s="719">
        <f>+'Distribucion Programas I'!F76</f>
        <v>0</v>
      </c>
      <c r="D56" s="719">
        <f>+'Distribucion Programas II '!Q77</f>
        <v>0</v>
      </c>
      <c r="E56" s="719">
        <f>+'Distribucion Programas III UTGV'!C76</f>
        <v>0</v>
      </c>
      <c r="F56" s="573">
        <f t="shared" si="0"/>
        <v>0</v>
      </c>
      <c r="G56" s="238"/>
      <c r="H56" s="238"/>
    </row>
    <row r="57" spans="1:8" s="8" customFormat="1" ht="15.75" customHeight="1">
      <c r="A57" s="576" t="s">
        <v>486</v>
      </c>
      <c r="B57" s="576" t="s">
        <v>493</v>
      </c>
      <c r="C57" s="719">
        <f>+'Distribucion Programas I'!F77</f>
        <v>1000000</v>
      </c>
      <c r="D57" s="719">
        <f>+'Distribucion Programas II '!Q78</f>
        <v>2796400.51</v>
      </c>
      <c r="E57" s="719">
        <f>+'Distribucion Programas III UTGV'!C77</f>
        <v>0</v>
      </c>
      <c r="F57" s="571">
        <f t="shared" si="0"/>
        <v>3796400.51</v>
      </c>
      <c r="G57" s="238"/>
      <c r="H57" s="238"/>
    </row>
    <row r="58" spans="1:8" s="8" customFormat="1" ht="15.75" customHeight="1">
      <c r="A58" s="576" t="s">
        <v>487</v>
      </c>
      <c r="B58" s="576" t="s">
        <v>494</v>
      </c>
      <c r="C58" s="719">
        <f>+'Distribucion Programas I'!F78</f>
        <v>0</v>
      </c>
      <c r="D58" s="719">
        <f>+'Distribucion Programas II '!Q79</f>
        <v>0</v>
      </c>
      <c r="E58" s="719">
        <f>+'Distribucion Programas III UTGV'!C78</f>
        <v>5000000</v>
      </c>
      <c r="F58" s="571">
        <f t="shared" si="0"/>
        <v>5000000</v>
      </c>
      <c r="G58" s="238"/>
      <c r="H58" s="238"/>
    </row>
    <row r="59" spans="1:8" s="8" customFormat="1" ht="15.75" customHeight="1">
      <c r="A59" s="576" t="str">
        <f>+'Distribucion Programas III UTGV'!A80</f>
        <v xml:space="preserve">1.04.05    </v>
      </c>
      <c r="B59" s="576" t="str">
        <f>+'Distribucion Programas III UTGV'!B80</f>
        <v>Servicios de desarrollo de sistemas informáticos</v>
      </c>
      <c r="C59" s="719"/>
      <c r="D59" s="719"/>
      <c r="E59" s="719">
        <f>+'Distribucion Programas III UTGV'!C80</f>
        <v>4000000</v>
      </c>
      <c r="F59" s="571">
        <f t="shared" si="0"/>
        <v>4000000</v>
      </c>
      <c r="G59" s="238"/>
      <c r="H59" s="238"/>
    </row>
    <row r="60" spans="1:8" s="8" customFormat="1" ht="15.75" customHeight="1">
      <c r="A60" s="576" t="s">
        <v>490</v>
      </c>
      <c r="B60" s="576" t="s">
        <v>497</v>
      </c>
      <c r="C60" s="719">
        <f>+'Distribucion Programas I'!F81</f>
        <v>0</v>
      </c>
      <c r="D60" s="719">
        <f>+'Distribucion Programas II '!Q82</f>
        <v>300000</v>
      </c>
      <c r="E60" s="719">
        <f>+'Distribucion Programas III UTGV'!C81</f>
        <v>500000</v>
      </c>
      <c r="F60" s="571">
        <f t="shared" si="0"/>
        <v>800000</v>
      </c>
      <c r="G60" s="238"/>
      <c r="H60" s="238"/>
    </row>
    <row r="61" spans="1:8" s="8" customFormat="1" ht="15.75" customHeight="1">
      <c r="A61" s="576" t="s">
        <v>491</v>
      </c>
      <c r="B61" s="576" t="s">
        <v>498</v>
      </c>
      <c r="C61" s="719">
        <f>+'Distribucion Programas I'!F82</f>
        <v>0</v>
      </c>
      <c r="D61" s="719">
        <f>+'Distribucion Programas II '!Q83</f>
        <v>0</v>
      </c>
      <c r="E61" s="719">
        <f>+'Distribucion Programas III UTGV'!C82</f>
        <v>0</v>
      </c>
      <c r="F61" s="571">
        <f t="shared" si="0"/>
        <v>0</v>
      </c>
      <c r="G61" s="238"/>
      <c r="H61" s="238"/>
    </row>
    <row r="62" spans="1:8" ht="15.75" customHeight="1">
      <c r="A62" s="577"/>
      <c r="B62" s="578"/>
      <c r="C62" s="572">
        <f>+'Distribucion Programas I'!F83</f>
        <v>0</v>
      </c>
      <c r="D62" s="572">
        <f>+'Distribucion Programas II '!Q84</f>
        <v>0</v>
      </c>
      <c r="E62" s="572">
        <f>+'Distribucion Programas III UTGV'!C83</f>
        <v>0</v>
      </c>
      <c r="F62" s="573">
        <f t="shared" si="0"/>
        <v>0</v>
      </c>
      <c r="G62" s="238"/>
      <c r="H62" s="238"/>
    </row>
    <row r="63" spans="1:8" ht="15.75" customHeight="1">
      <c r="A63" s="575" t="s">
        <v>233</v>
      </c>
      <c r="B63" s="575" t="s">
        <v>234</v>
      </c>
      <c r="C63" s="572">
        <f>+'Distribucion Programas I'!F84</f>
        <v>6600000</v>
      </c>
      <c r="D63" s="572">
        <f>+'Distribucion Programas II '!Q85</f>
        <v>7956892.4000000004</v>
      </c>
      <c r="E63" s="572">
        <f>+E65+E64</f>
        <v>26085227.210000001</v>
      </c>
      <c r="F63" s="573">
        <f t="shared" si="0"/>
        <v>40642119.609999999</v>
      </c>
      <c r="G63" s="238"/>
      <c r="H63" s="238"/>
    </row>
    <row r="64" spans="1:8" s="8" customFormat="1" ht="15.75" customHeight="1">
      <c r="A64" s="576" t="s">
        <v>499</v>
      </c>
      <c r="B64" s="576" t="s">
        <v>503</v>
      </c>
      <c r="C64" s="719">
        <f>+'Distribucion Programas I'!F85</f>
        <v>2000000</v>
      </c>
      <c r="D64" s="719">
        <f>+'Distribucion Programas II '!Q86</f>
        <v>536000</v>
      </c>
      <c r="E64" s="719">
        <f>+'Distribucion Programas III UTGV'!C85+'Distrib Programas III Poyectos'!P10</f>
        <v>8085227.21</v>
      </c>
      <c r="F64" s="571">
        <f t="shared" si="0"/>
        <v>10621227.210000001</v>
      </c>
      <c r="G64" s="238"/>
      <c r="H64" s="238"/>
    </row>
    <row r="65" spans="1:8" s="8" customFormat="1" ht="15.75" customHeight="1">
      <c r="A65" s="576" t="s">
        <v>500</v>
      </c>
      <c r="B65" s="576" t="s">
        <v>504</v>
      </c>
      <c r="C65" s="719">
        <f>+'Distribucion Programas I'!F86</f>
        <v>4600000</v>
      </c>
      <c r="D65" s="719">
        <f>+'Distribucion Programas II '!Q87</f>
        <v>7420892.4000000004</v>
      </c>
      <c r="E65" s="719">
        <f>+'Distribucion Programas III UTGV'!C86</f>
        <v>18000000</v>
      </c>
      <c r="F65" s="571">
        <f t="shared" si="0"/>
        <v>30020892.399999999</v>
      </c>
      <c r="G65" s="238"/>
      <c r="H65" s="238"/>
    </row>
    <row r="66" spans="1:8" ht="15.75" customHeight="1">
      <c r="A66" s="577"/>
      <c r="B66" s="578"/>
      <c r="C66" s="572">
        <f>+'Distribucion Programas I'!F89</f>
        <v>0</v>
      </c>
      <c r="D66" s="572">
        <f>+'Distribucion Programas II '!Q90</f>
        <v>0</v>
      </c>
      <c r="E66" s="572">
        <f>+'Distribucion Programas III UTGV'!C89</f>
        <v>0</v>
      </c>
      <c r="F66" s="573"/>
      <c r="G66" s="238"/>
      <c r="H66" s="238"/>
    </row>
    <row r="67" spans="1:8" ht="15.75" customHeight="1">
      <c r="A67" s="577"/>
      <c r="B67" s="578"/>
      <c r="C67" s="572"/>
      <c r="D67" s="572"/>
      <c r="E67" s="572"/>
      <c r="F67" s="573"/>
      <c r="G67" s="238"/>
      <c r="H67" s="238"/>
    </row>
    <row r="68" spans="1:8" ht="15.75" customHeight="1">
      <c r="A68" s="577"/>
      <c r="B68" s="578"/>
      <c r="C68" s="572"/>
      <c r="D68" s="572"/>
      <c r="E68" s="572"/>
      <c r="F68" s="573"/>
      <c r="G68" s="238"/>
      <c r="H68" s="238"/>
    </row>
    <row r="69" spans="1:8" ht="15.75" customHeight="1">
      <c r="A69" s="577"/>
      <c r="B69" s="578"/>
      <c r="C69" s="572"/>
      <c r="D69" s="572"/>
      <c r="E69" s="572"/>
      <c r="F69" s="720">
        <v>5</v>
      </c>
      <c r="G69" s="238"/>
      <c r="H69" s="238"/>
    </row>
    <row r="70" spans="1:8" ht="15.75" customHeight="1">
      <c r="A70" s="577"/>
      <c r="B70" s="578"/>
      <c r="C70" s="572"/>
      <c r="D70" s="572"/>
      <c r="E70" s="572"/>
      <c r="F70" s="573"/>
      <c r="G70" s="238"/>
      <c r="H70" s="238"/>
    </row>
    <row r="71" spans="1:8" ht="15.75" customHeight="1">
      <c r="A71" s="575" t="s">
        <v>235</v>
      </c>
      <c r="B71" s="575" t="s">
        <v>236</v>
      </c>
      <c r="C71" s="572">
        <f>+'Distribucion Programas I'!F90</f>
        <v>3598151.7827691725</v>
      </c>
      <c r="D71" s="572">
        <f>+'Distribucion Programas II '!Q91</f>
        <v>8354715.7909225095</v>
      </c>
      <c r="E71" s="572">
        <f>+E72</f>
        <v>37712103.503988922</v>
      </c>
      <c r="F71" s="573">
        <f>+C71+D71+E71</f>
        <v>49664971.077680603</v>
      </c>
      <c r="G71" s="238"/>
      <c r="H71" s="238"/>
    </row>
    <row r="72" spans="1:8" s="8" customFormat="1" ht="15.75" customHeight="1">
      <c r="A72" s="576" t="s">
        <v>507</v>
      </c>
      <c r="B72" s="576" t="s">
        <v>512</v>
      </c>
      <c r="C72" s="719">
        <f>+'Distribucion Programas I'!F91</f>
        <v>3598151.7827691725</v>
      </c>
      <c r="D72" s="719">
        <f>+'Distribucion Programas II '!Q92</f>
        <v>8354715.7909225095</v>
      </c>
      <c r="E72" s="719">
        <f>+'Distribucion Programas III UTGV'!C91+'Distrib Programas III Poyectos'!Q10</f>
        <v>37712103.503988922</v>
      </c>
      <c r="F72" s="571">
        <f t="shared" ref="F72:F136" si="1">+C72+D72+E72</f>
        <v>49664971.077680603</v>
      </c>
      <c r="G72" s="238"/>
      <c r="H72" s="238"/>
    </row>
    <row r="73" spans="1:8" ht="15.75" customHeight="1">
      <c r="A73" s="577"/>
      <c r="B73" s="578"/>
      <c r="C73" s="572">
        <f>+'Distribucion Programas I'!F94</f>
        <v>0</v>
      </c>
      <c r="D73" s="572">
        <f>+'Distribucion Programas II '!Q95</f>
        <v>0</v>
      </c>
      <c r="E73" s="572">
        <f>+'Distribucion Programas III UTGV'!C94</f>
        <v>0</v>
      </c>
      <c r="F73" s="573">
        <f t="shared" si="1"/>
        <v>0</v>
      </c>
      <c r="G73" s="238"/>
      <c r="H73" s="238"/>
    </row>
    <row r="74" spans="1:8" ht="24.75" customHeight="1">
      <c r="A74" s="575" t="s">
        <v>238</v>
      </c>
      <c r="B74" s="575" t="s">
        <v>239</v>
      </c>
      <c r="C74" s="572">
        <f>+'Distribucion Programas I'!F95</f>
        <v>0</v>
      </c>
      <c r="D74" s="572">
        <f>+'Distribucion Programas II '!Q96</f>
        <v>668511.54</v>
      </c>
      <c r="E74" s="572">
        <f>+'Distribucion Programas III UTGV'!C95</f>
        <v>1839000</v>
      </c>
      <c r="F74" s="573">
        <f t="shared" si="1"/>
        <v>2507511.54</v>
      </c>
      <c r="G74" s="238"/>
      <c r="H74" s="238"/>
    </row>
    <row r="75" spans="1:8" s="8" customFormat="1" ht="15.75" customHeight="1">
      <c r="A75" s="576" t="s">
        <v>515</v>
      </c>
      <c r="B75" s="576" t="s">
        <v>518</v>
      </c>
      <c r="C75" s="719">
        <f>+'Distribucion Programas I'!F96</f>
        <v>0</v>
      </c>
      <c r="D75" s="719">
        <f>+'Distribucion Programas II '!Q97</f>
        <v>668511.54</v>
      </c>
      <c r="E75" s="719">
        <f>+'Distribucion Programas III UTGV'!C96</f>
        <v>1839000</v>
      </c>
      <c r="F75" s="571">
        <f t="shared" si="1"/>
        <v>2507511.54</v>
      </c>
      <c r="G75" s="238"/>
      <c r="H75" s="238"/>
    </row>
    <row r="76" spans="1:8" ht="15.75" customHeight="1">
      <c r="A76" s="577"/>
      <c r="B76" s="578"/>
      <c r="C76" s="572">
        <f>+'Distribucion Programas I'!F99</f>
        <v>0</v>
      </c>
      <c r="D76" s="572">
        <f>+'Distribucion Programas II '!Q100</f>
        <v>0</v>
      </c>
      <c r="E76" s="572">
        <f>+'Distribucion Programas III UTGV'!C99</f>
        <v>0</v>
      </c>
      <c r="F76" s="573">
        <f t="shared" si="1"/>
        <v>0</v>
      </c>
      <c r="G76" s="238"/>
      <c r="H76" s="238"/>
    </row>
    <row r="77" spans="1:8" ht="15.75" customHeight="1">
      <c r="A77" s="575" t="s">
        <v>240</v>
      </c>
      <c r="B77" s="575" t="s">
        <v>241</v>
      </c>
      <c r="C77" s="572">
        <f>+'Distribucion Programas I'!F100</f>
        <v>0</v>
      </c>
      <c r="D77" s="572">
        <f>+'Distribucion Programas II '!Q101</f>
        <v>10455253.140000001</v>
      </c>
      <c r="E77" s="572">
        <f>SUM(E78:E83)</f>
        <v>35000000</v>
      </c>
      <c r="F77" s="573">
        <f t="shared" si="1"/>
        <v>45455253.140000001</v>
      </c>
      <c r="G77" s="238"/>
      <c r="H77" s="238"/>
    </row>
    <row r="78" spans="1:8" s="8" customFormat="1" ht="15.75" customHeight="1">
      <c r="A78" s="576" t="s">
        <v>521</v>
      </c>
      <c r="B78" s="576" t="s">
        <v>530</v>
      </c>
      <c r="C78" s="719">
        <f>+'Distribucion Programas I'!F101</f>
        <v>0</v>
      </c>
      <c r="D78" s="719">
        <f>+'Distribucion Programas II '!Q102</f>
        <v>2850000</v>
      </c>
      <c r="E78" s="719">
        <f>+'Distribucion Programas III UTGV'!C101</f>
        <v>3000000</v>
      </c>
      <c r="F78" s="571">
        <f t="shared" si="1"/>
        <v>5850000</v>
      </c>
      <c r="G78" s="238"/>
      <c r="H78" s="238"/>
    </row>
    <row r="79" spans="1:8" s="8" customFormat="1" ht="15.75" customHeight="1">
      <c r="A79" s="576" t="s">
        <v>522</v>
      </c>
      <c r="B79" s="576" t="s">
        <v>531</v>
      </c>
      <c r="C79" s="719">
        <f>+'Distribucion Programas I'!F102</f>
        <v>0</v>
      </c>
      <c r="D79" s="719">
        <f>+'Distribucion Programas II '!Q103</f>
        <v>0</v>
      </c>
      <c r="E79" s="719">
        <v>0</v>
      </c>
      <c r="F79" s="571">
        <f t="shared" si="1"/>
        <v>0</v>
      </c>
      <c r="G79" s="238"/>
      <c r="H79" s="238"/>
    </row>
    <row r="80" spans="1:8" s="8" customFormat="1" ht="27.75" customHeight="1">
      <c r="A80" s="576" t="s">
        <v>524</v>
      </c>
      <c r="B80" s="576" t="s">
        <v>534</v>
      </c>
      <c r="C80" s="719">
        <f>+'Distribucion Programas I'!F104</f>
        <v>0</v>
      </c>
      <c r="D80" s="719">
        <f>+'Distribucion Programas II '!Q105</f>
        <v>5305253.1400000006</v>
      </c>
      <c r="E80" s="719">
        <f>+'Distribucion Programas III UTGV'!C104</f>
        <v>15000000</v>
      </c>
      <c r="F80" s="571">
        <f t="shared" si="1"/>
        <v>20305253.140000001</v>
      </c>
      <c r="G80" s="238"/>
      <c r="H80" s="238"/>
    </row>
    <row r="81" spans="1:9" s="8" customFormat="1" ht="15.75" customHeight="1">
      <c r="A81" s="576" t="s">
        <v>525</v>
      </c>
      <c r="B81" s="576" t="s">
        <v>533</v>
      </c>
      <c r="C81" s="719">
        <f>+'Distribucion Programas I'!F105</f>
        <v>0</v>
      </c>
      <c r="D81" s="719">
        <f>+'Distribucion Programas II '!Q106</f>
        <v>500000</v>
      </c>
      <c r="E81" s="719">
        <f>+'Distribucion Programas III UTGV'!C105</f>
        <v>15000000</v>
      </c>
      <c r="F81" s="571">
        <f t="shared" si="1"/>
        <v>15500000</v>
      </c>
      <c r="G81" s="238"/>
      <c r="H81" s="238"/>
    </row>
    <row r="82" spans="1:9" s="8" customFormat="1" ht="27.75" customHeight="1">
      <c r="A82" s="576" t="s">
        <v>527</v>
      </c>
      <c r="B82" s="576" t="s">
        <v>535</v>
      </c>
      <c r="C82" s="719">
        <f>+'Distribucion Programas I'!F107</f>
        <v>0</v>
      </c>
      <c r="D82" s="719">
        <f>+'Distribucion Programas II '!Q108</f>
        <v>800000</v>
      </c>
      <c r="E82" s="719">
        <f>+'Distribucion Programas III UTGV'!C107</f>
        <v>0</v>
      </c>
      <c r="F82" s="571">
        <f t="shared" si="1"/>
        <v>800000</v>
      </c>
      <c r="G82" s="238"/>
      <c r="H82" s="238"/>
    </row>
    <row r="83" spans="1:9" s="8" customFormat="1" ht="27" customHeight="1">
      <c r="A83" s="576" t="s">
        <v>528</v>
      </c>
      <c r="B83" s="576" t="s">
        <v>536</v>
      </c>
      <c r="C83" s="719">
        <f>+'Distribucion Programas I'!F108</f>
        <v>0</v>
      </c>
      <c r="D83" s="719">
        <f>+'Distribucion Programas II '!Q109</f>
        <v>1000000</v>
      </c>
      <c r="E83" s="719">
        <f>+'Distribucion Programas III UTGV'!C108</f>
        <v>2000000</v>
      </c>
      <c r="F83" s="571">
        <f t="shared" si="1"/>
        <v>3000000</v>
      </c>
      <c r="G83" s="238"/>
      <c r="H83" s="238"/>
    </row>
    <row r="84" spans="1:9" ht="15.75" customHeight="1">
      <c r="A84" s="577"/>
      <c r="B84" s="578"/>
      <c r="C84" s="572">
        <f>+'Distribucion Programas I'!F110</f>
        <v>0</v>
      </c>
      <c r="D84" s="572">
        <f>+'Distribucion Programas II '!Q111</f>
        <v>0</v>
      </c>
      <c r="E84" s="572">
        <f>+'Distribucion Programas III UTGV'!C110</f>
        <v>0</v>
      </c>
      <c r="F84" s="573">
        <f t="shared" si="1"/>
        <v>0</v>
      </c>
      <c r="G84" s="238"/>
      <c r="H84" s="238"/>
    </row>
    <row r="85" spans="1:9" ht="15.75" customHeight="1">
      <c r="A85" s="575" t="s">
        <v>242</v>
      </c>
      <c r="B85" s="575" t="s">
        <v>243</v>
      </c>
      <c r="C85" s="572">
        <f>+'Distribucion Programas I'!F111</f>
        <v>100000</v>
      </c>
      <c r="D85" s="572">
        <f>+'Distribucion Programas II '!Q112</f>
        <v>250000</v>
      </c>
      <c r="E85" s="572">
        <f>+'Distribucion Programas III UTGV'!C111</f>
        <v>3000000</v>
      </c>
      <c r="F85" s="573">
        <f t="shared" si="1"/>
        <v>3350000</v>
      </c>
      <c r="G85" s="238"/>
      <c r="H85" s="238"/>
    </row>
    <row r="86" spans="1:9" s="8" customFormat="1" ht="15.75" customHeight="1">
      <c r="A86" s="576" t="s">
        <v>542</v>
      </c>
      <c r="B86" s="576" t="s">
        <v>546</v>
      </c>
      <c r="C86" s="719">
        <f>+'Distribucion Programas I'!F115</f>
        <v>100000</v>
      </c>
      <c r="D86" s="719">
        <f>+'Distribucion Programas II '!Q116</f>
        <v>250000</v>
      </c>
      <c r="E86" s="719">
        <f>+'Distribucion Programas III UTGV'!C115</f>
        <v>3000000</v>
      </c>
      <c r="F86" s="571">
        <f t="shared" si="1"/>
        <v>3350000</v>
      </c>
      <c r="G86" s="238"/>
      <c r="H86" s="238"/>
    </row>
    <row r="87" spans="1:9" ht="18" customHeight="1">
      <c r="A87" s="577"/>
      <c r="B87" s="578"/>
      <c r="C87" s="572"/>
      <c r="D87" s="572"/>
      <c r="E87" s="572"/>
      <c r="F87" s="573">
        <f t="shared" si="1"/>
        <v>0</v>
      </c>
      <c r="G87" s="238"/>
      <c r="H87" s="238"/>
    </row>
    <row r="88" spans="1:9" ht="15.75" customHeight="1">
      <c r="A88" s="575" t="s">
        <v>244</v>
      </c>
      <c r="B88" s="575" t="s">
        <v>245</v>
      </c>
      <c r="C88" s="572">
        <f>+'Distribucion Programas I'!F117</f>
        <v>500000</v>
      </c>
      <c r="D88" s="572">
        <f>+'Distribucion Programas II '!Q118</f>
        <v>1350000</v>
      </c>
      <c r="E88" s="572">
        <f>+'Distribucion Programas III UTGV'!C117</f>
        <v>1500000</v>
      </c>
      <c r="F88" s="573">
        <f t="shared" si="1"/>
        <v>3350000</v>
      </c>
      <c r="G88" s="238"/>
      <c r="H88" s="238"/>
    </row>
    <row r="89" spans="1:9" s="8" customFormat="1" ht="15.75" customHeight="1">
      <c r="A89" s="576" t="s">
        <v>552</v>
      </c>
      <c r="B89" s="576" t="s">
        <v>559</v>
      </c>
      <c r="C89" s="719">
        <f>+'Distribucion Programas I'!F122</f>
        <v>500000</v>
      </c>
      <c r="D89" s="719">
        <f>+'Distribucion Programas II '!Q123</f>
        <v>1350000</v>
      </c>
      <c r="E89" s="719">
        <f>+'Distribucion Programas III UTGV'!C122</f>
        <v>1500000</v>
      </c>
      <c r="F89" s="571">
        <f t="shared" si="1"/>
        <v>3350000</v>
      </c>
      <c r="G89" s="238"/>
      <c r="H89" s="238"/>
    </row>
    <row r="90" spans="1:9" ht="15.75" customHeight="1">
      <c r="A90" s="577"/>
      <c r="B90" s="578"/>
      <c r="C90" s="572">
        <f>+'Distribucion Programas I'!F124</f>
        <v>0</v>
      </c>
      <c r="D90" s="572">
        <f>+'Distribucion Programas II '!Q125</f>
        <v>0</v>
      </c>
      <c r="E90" s="572">
        <f>+'Distribucion Programas III UTGV'!C124</f>
        <v>0</v>
      </c>
      <c r="F90" s="573">
        <f t="shared" si="1"/>
        <v>0</v>
      </c>
      <c r="G90" s="238"/>
      <c r="H90" s="238"/>
      <c r="I90" s="855"/>
    </row>
    <row r="91" spans="1:9" ht="18.75" customHeight="1">
      <c r="A91" s="575">
        <v>2</v>
      </c>
      <c r="B91" s="575" t="s">
        <v>561</v>
      </c>
      <c r="C91" s="572">
        <f>+'Distribucion Programas I'!F125</f>
        <v>4353306.5999999996</v>
      </c>
      <c r="D91" s="572">
        <f>+'Distribucion Programas II '!Q126</f>
        <v>76329067.120000005</v>
      </c>
      <c r="E91" s="572">
        <f>+E92+E97+E102+E111+E115</f>
        <v>549269919.35185182</v>
      </c>
      <c r="F91" s="573">
        <f t="shared" si="1"/>
        <v>629952293.07185185</v>
      </c>
      <c r="G91" s="238"/>
      <c r="H91" s="238"/>
      <c r="I91" s="855"/>
    </row>
    <row r="92" spans="1:9" ht="15.75" customHeight="1">
      <c r="A92" s="575" t="s">
        <v>246</v>
      </c>
      <c r="B92" s="575" t="s">
        <v>247</v>
      </c>
      <c r="C92" s="572">
        <f>+'Distribucion Programas I'!F126</f>
        <v>1150000</v>
      </c>
      <c r="D92" s="572">
        <f>+'Distribucion Programas II '!Q127</f>
        <v>24882051.650000002</v>
      </c>
      <c r="E92" s="572">
        <f>+E93+E94+E95</f>
        <v>105209695.34968148</v>
      </c>
      <c r="F92" s="573">
        <f t="shared" si="1"/>
        <v>131241746.99968149</v>
      </c>
      <c r="G92" s="238"/>
      <c r="H92" s="238"/>
      <c r="I92" s="855"/>
    </row>
    <row r="93" spans="1:9" s="8" customFormat="1" ht="15.75" customHeight="1">
      <c r="A93" s="576" t="s">
        <v>562</v>
      </c>
      <c r="B93" s="576" t="s">
        <v>581</v>
      </c>
      <c r="C93" s="719">
        <f>+'Distribucion Programas I'!F127</f>
        <v>500000</v>
      </c>
      <c r="D93" s="719">
        <f>+'Distribucion Programas II '!Q128</f>
        <v>22482051.650000002</v>
      </c>
      <c r="E93" s="719">
        <f>+'Distribucion Programas III UTGV'!C127+'Distrib Programas III Poyectos'!R10</f>
        <v>104559695.34968148</v>
      </c>
      <c r="F93" s="571">
        <f t="shared" si="1"/>
        <v>127541746.99968149</v>
      </c>
      <c r="G93" s="238"/>
      <c r="H93" s="238"/>
    </row>
    <row r="94" spans="1:9" s="8" customFormat="1" ht="15.75" customHeight="1">
      <c r="A94" s="576" t="s">
        <v>579</v>
      </c>
      <c r="B94" s="576" t="s">
        <v>584</v>
      </c>
      <c r="C94" s="719">
        <f>+'Distribucion Programas I'!F130</f>
        <v>650000</v>
      </c>
      <c r="D94" s="719">
        <f>+'Distribucion Programas II '!Q131</f>
        <v>2000000</v>
      </c>
      <c r="E94" s="719">
        <f>+'Distribucion Programas III UTGV'!C130</f>
        <v>500000</v>
      </c>
      <c r="F94" s="571">
        <f t="shared" si="1"/>
        <v>3150000</v>
      </c>
      <c r="G94" s="238"/>
      <c r="H94" s="238"/>
    </row>
    <row r="95" spans="1:9" s="8" customFormat="1" ht="15.75" customHeight="1">
      <c r="A95" s="837" t="s">
        <v>1344</v>
      </c>
      <c r="B95" s="837" t="s">
        <v>1345</v>
      </c>
      <c r="C95" s="719"/>
      <c r="D95" s="719"/>
      <c r="E95" s="719">
        <f>+'Distribucion Programas III UTGV'!C131</f>
        <v>150000</v>
      </c>
      <c r="F95" s="571">
        <f t="shared" si="1"/>
        <v>150000</v>
      </c>
      <c r="G95" s="238"/>
      <c r="H95" s="238"/>
    </row>
    <row r="96" spans="1:9" ht="15.75" customHeight="1">
      <c r="A96" s="576"/>
      <c r="B96" s="576"/>
      <c r="C96" s="572">
        <f>+'Distribucion Programas I'!F132</f>
        <v>0</v>
      </c>
      <c r="D96" s="572">
        <f>+'Distribucion Programas II '!Q133</f>
        <v>0</v>
      </c>
      <c r="E96" s="572">
        <f>+'Distribucion Programas III UTGV'!C132</f>
        <v>0</v>
      </c>
      <c r="F96" s="573">
        <f t="shared" si="1"/>
        <v>0</v>
      </c>
      <c r="G96" s="238"/>
      <c r="H96" s="238"/>
    </row>
    <row r="97" spans="1:8" ht="15.75" customHeight="1">
      <c r="A97" s="575" t="s">
        <v>248</v>
      </c>
      <c r="B97" s="575" t="s">
        <v>249</v>
      </c>
      <c r="C97" s="572">
        <f>+'Distribucion Programas I'!F133</f>
        <v>500000</v>
      </c>
      <c r="D97" s="572">
        <f>+'Distribucion Programas II '!Q134</f>
        <v>22723297.050000001</v>
      </c>
      <c r="E97" s="572">
        <f>+'Distribucion Programas III UTGV'!C133</f>
        <v>500000</v>
      </c>
      <c r="F97" s="573">
        <f t="shared" si="1"/>
        <v>23723297.050000001</v>
      </c>
      <c r="G97" s="238"/>
      <c r="H97" s="238"/>
    </row>
    <row r="98" spans="1:8" s="8" customFormat="1" ht="15.75" customHeight="1">
      <c r="A98" s="576" t="s">
        <v>591</v>
      </c>
      <c r="B98" s="576" t="s">
        <v>587</v>
      </c>
      <c r="C98" s="719">
        <f>+'Distribucion Programas I'!F135</f>
        <v>0</v>
      </c>
      <c r="D98" s="719">
        <f>+'Distribucion Programas II '!Q136</f>
        <v>540000</v>
      </c>
      <c r="E98" s="719">
        <f>+'Distribucion Programas III UTGV'!C135</f>
        <v>0</v>
      </c>
      <c r="F98" s="571">
        <f t="shared" si="1"/>
        <v>540000</v>
      </c>
      <c r="G98" s="238"/>
      <c r="H98" s="238"/>
    </row>
    <row r="99" spans="1:8" s="8" customFormat="1" ht="15.75" customHeight="1">
      <c r="A99" s="576" t="s">
        <v>592</v>
      </c>
      <c r="B99" s="576" t="s">
        <v>588</v>
      </c>
      <c r="C99" s="719">
        <f>+'Distribucion Programas I'!F136</f>
        <v>500000</v>
      </c>
      <c r="D99" s="719">
        <f>+'Distribucion Programas II '!Q137</f>
        <v>22183297.050000001</v>
      </c>
      <c r="E99" s="719">
        <f>+'Distribucion Programas III UTGV'!C136</f>
        <v>500000</v>
      </c>
      <c r="F99" s="571">
        <f t="shared" si="1"/>
        <v>23183297.050000001</v>
      </c>
      <c r="G99" s="238"/>
      <c r="H99" s="238"/>
    </row>
    <row r="100" spans="1:8" ht="15.75" customHeight="1">
      <c r="A100" s="577"/>
      <c r="B100" s="578"/>
      <c r="C100" s="572"/>
      <c r="D100" s="572"/>
      <c r="E100" s="572"/>
      <c r="F100" s="573">
        <f t="shared" si="1"/>
        <v>0</v>
      </c>
      <c r="G100" s="238"/>
      <c r="H100" s="238"/>
    </row>
    <row r="101" spans="1:8" ht="15.75" customHeight="1">
      <c r="A101" s="577"/>
      <c r="B101" s="578"/>
      <c r="C101" s="572"/>
      <c r="D101" s="572"/>
      <c r="E101" s="572"/>
      <c r="F101" s="573">
        <f t="shared" si="1"/>
        <v>0</v>
      </c>
      <c r="G101" s="238"/>
      <c r="H101" s="238"/>
    </row>
    <row r="102" spans="1:8" ht="15.75" customHeight="1">
      <c r="A102" s="575" t="s">
        <v>594</v>
      </c>
      <c r="B102" s="575" t="s">
        <v>595</v>
      </c>
      <c r="C102" s="572">
        <f>+'Distribucion Programas I'!F140</f>
        <v>0</v>
      </c>
      <c r="D102" s="572">
        <f>+'Distribucion Programas II '!Q141</f>
        <v>2445000</v>
      </c>
      <c r="E102" s="572">
        <f>SUM(E103:E109)</f>
        <v>393189374.04217035</v>
      </c>
      <c r="F102" s="573">
        <f t="shared" si="1"/>
        <v>395634374.04217035</v>
      </c>
      <c r="G102" s="238"/>
      <c r="H102" s="238"/>
    </row>
    <row r="103" spans="1:8" s="8" customFormat="1" ht="15.75" customHeight="1">
      <c r="A103" s="576" t="s">
        <v>596</v>
      </c>
      <c r="B103" s="576" t="s">
        <v>603</v>
      </c>
      <c r="C103" s="719">
        <f>+'Distribucion Programas I'!F141</f>
        <v>0</v>
      </c>
      <c r="D103" s="719">
        <f>+'Distribucion Programas II '!Q142</f>
        <v>600000</v>
      </c>
      <c r="E103" s="719">
        <f>+'Distribucion Programas III UTGV'!C141+'Distrib Programas III Poyectos'!S10</f>
        <v>10602850.380000001</v>
      </c>
      <c r="F103" s="571">
        <f t="shared" si="1"/>
        <v>11202850.380000001</v>
      </c>
      <c r="G103" s="238"/>
      <c r="H103" s="238"/>
    </row>
    <row r="104" spans="1:8" s="8" customFormat="1" ht="15.75" customHeight="1">
      <c r="A104" s="576" t="s">
        <v>597</v>
      </c>
      <c r="B104" s="576" t="s">
        <v>604</v>
      </c>
      <c r="C104" s="719">
        <f>+'Distribucion Programas I'!F142</f>
        <v>0</v>
      </c>
      <c r="D104" s="719">
        <f>+'Distribucion Programas II '!Q143</f>
        <v>200000</v>
      </c>
      <c r="E104" s="719">
        <f>+'Distribucion Programas III UTGV'!C142+'Distrib Programas III Poyectos'!T10</f>
        <v>372949664.08217031</v>
      </c>
      <c r="F104" s="571">
        <f t="shared" si="1"/>
        <v>373149664.08217031</v>
      </c>
      <c r="G104" s="238"/>
      <c r="H104" s="238"/>
    </row>
    <row r="105" spans="1:8" s="8" customFormat="1" ht="15.75" customHeight="1">
      <c r="A105" s="576" t="s">
        <v>598</v>
      </c>
      <c r="B105" s="576" t="s">
        <v>605</v>
      </c>
      <c r="C105" s="719">
        <f>+'Distribucion Programas I'!F143</f>
        <v>0</v>
      </c>
      <c r="D105" s="719">
        <f>+'Distribucion Programas II '!Q144</f>
        <v>100000</v>
      </c>
      <c r="E105" s="719">
        <f>+'Distribucion Programas III UTGV'!C143+'Distrib Programas III Poyectos'!U10</f>
        <v>5548009.3600000003</v>
      </c>
      <c r="F105" s="571">
        <f t="shared" si="1"/>
        <v>5648009.3600000003</v>
      </c>
      <c r="G105" s="238"/>
      <c r="H105" s="238"/>
    </row>
    <row r="106" spans="1:8" s="8" customFormat="1" ht="15.75" customHeight="1">
      <c r="A106" s="576" t="s">
        <v>599</v>
      </c>
      <c r="B106" s="576" t="s">
        <v>606</v>
      </c>
      <c r="C106" s="719">
        <f>+'Distribucion Programas I'!F144</f>
        <v>0</v>
      </c>
      <c r="D106" s="719">
        <f>+'Distribucion Programas II '!Q145</f>
        <v>645000</v>
      </c>
      <c r="E106" s="719">
        <f>+'Distribucion Programas III UTGV'!C144</f>
        <v>500000</v>
      </c>
      <c r="F106" s="571">
        <f t="shared" si="1"/>
        <v>1145000</v>
      </c>
      <c r="G106" s="238"/>
      <c r="H106" s="238"/>
    </row>
    <row r="107" spans="1:8" s="8" customFormat="1" ht="15.75" customHeight="1">
      <c r="A107" s="576" t="s">
        <v>600</v>
      </c>
      <c r="B107" s="576" t="s">
        <v>607</v>
      </c>
      <c r="C107" s="719">
        <f>+'Distribucion Programas I'!F145</f>
        <v>0</v>
      </c>
      <c r="D107" s="719">
        <f>+'Distribucion Programas II '!Q146</f>
        <v>600000</v>
      </c>
      <c r="E107" s="719">
        <f>+'Distribucion Programas III UTGV'!C145</f>
        <v>0</v>
      </c>
      <c r="F107" s="571">
        <f t="shared" si="1"/>
        <v>600000</v>
      </c>
      <c r="G107" s="238"/>
      <c r="H107" s="238"/>
    </row>
    <row r="108" spans="1:8" s="8" customFormat="1" ht="15.75" customHeight="1">
      <c r="A108" s="576" t="s">
        <v>601</v>
      </c>
      <c r="B108" s="576" t="s">
        <v>608</v>
      </c>
      <c r="C108" s="719">
        <f>+'Distribucion Programas I'!F146</f>
        <v>0</v>
      </c>
      <c r="D108" s="719">
        <f>+'Distribucion Programas II '!Q147</f>
        <v>200000</v>
      </c>
      <c r="E108" s="719">
        <f>+'Distribucion Programas III UTGV'!C146+'Distrib Programas III Poyectos'!V10</f>
        <v>3388850.2199999997</v>
      </c>
      <c r="F108" s="571">
        <f t="shared" si="1"/>
        <v>3588850.2199999997</v>
      </c>
      <c r="G108" s="238"/>
      <c r="H108" s="238"/>
    </row>
    <row r="109" spans="1:8" s="8" customFormat="1" ht="15.75" customHeight="1">
      <c r="A109" s="576" t="s">
        <v>602</v>
      </c>
      <c r="B109" s="576" t="s">
        <v>609</v>
      </c>
      <c r="C109" s="719">
        <f>+'Distribucion Programas I'!F147</f>
        <v>0</v>
      </c>
      <c r="D109" s="719">
        <f>+'Distribucion Programas II '!Q148</f>
        <v>100000</v>
      </c>
      <c r="E109" s="719">
        <f>+'Distribucion Programas III UTGV'!C147</f>
        <v>200000</v>
      </c>
      <c r="F109" s="573">
        <f t="shared" si="1"/>
        <v>300000</v>
      </c>
      <c r="G109" s="238"/>
      <c r="H109" s="238"/>
    </row>
    <row r="110" spans="1:8" ht="15.75" customHeight="1">
      <c r="A110" s="577"/>
      <c r="B110" s="578"/>
      <c r="C110" s="572">
        <f>+'Distribucion Programas I'!F148</f>
        <v>0</v>
      </c>
      <c r="D110" s="572">
        <f>+'Distribucion Programas II '!Q149</f>
        <v>0</v>
      </c>
      <c r="E110" s="572">
        <f>+'Distribucion Programas III UTGV'!C148</f>
        <v>0</v>
      </c>
      <c r="F110" s="573">
        <f t="shared" si="1"/>
        <v>0</v>
      </c>
      <c r="G110" s="238"/>
      <c r="H110" s="238"/>
    </row>
    <row r="111" spans="1:8" ht="15.75" customHeight="1">
      <c r="A111" s="575" t="s">
        <v>250</v>
      </c>
      <c r="B111" s="575" t="s">
        <v>251</v>
      </c>
      <c r="C111" s="572">
        <f>+'Distribucion Programas I'!F149</f>
        <v>200000</v>
      </c>
      <c r="D111" s="572">
        <f>+'Distribucion Programas II '!Q150</f>
        <v>8533667.3599999994</v>
      </c>
      <c r="E111" s="572">
        <f>+E113+E112</f>
        <v>39370849.959999993</v>
      </c>
      <c r="F111" s="573">
        <f t="shared" si="1"/>
        <v>48104517.319999993</v>
      </c>
      <c r="G111" s="238"/>
      <c r="H111" s="238"/>
    </row>
    <row r="112" spans="1:8" s="8" customFormat="1" ht="15.75" customHeight="1">
      <c r="A112" s="576" t="s">
        <v>610</v>
      </c>
      <c r="B112" s="576" t="s">
        <v>612</v>
      </c>
      <c r="C112" s="719">
        <f>+'Distribucion Programas I'!F150</f>
        <v>100000</v>
      </c>
      <c r="D112" s="719">
        <f>+'Distribucion Programas II '!Q151</f>
        <v>500000</v>
      </c>
      <c r="E112" s="719">
        <f>+'Distribucion Programas III UTGV'!C150+'Distrib Programas III Poyectos'!W10</f>
        <v>9107361.2199999988</v>
      </c>
      <c r="F112" s="571">
        <f t="shared" si="1"/>
        <v>9707361.2199999988</v>
      </c>
      <c r="G112" s="238"/>
      <c r="H112" s="238"/>
    </row>
    <row r="113" spans="1:9" s="8" customFormat="1" ht="15.75" customHeight="1">
      <c r="A113" s="576" t="s">
        <v>611</v>
      </c>
      <c r="B113" s="576" t="s">
        <v>613</v>
      </c>
      <c r="C113" s="719">
        <f>+'Distribucion Programas I'!F151</f>
        <v>100000</v>
      </c>
      <c r="D113" s="719">
        <f>+'Distribucion Programas II '!Q152</f>
        <v>8033667.3600000003</v>
      </c>
      <c r="E113" s="719">
        <f>+'Distribucion Programas III UTGV'!C151</f>
        <v>30263488.739999998</v>
      </c>
      <c r="F113" s="571">
        <f t="shared" si="1"/>
        <v>38397156.100000001</v>
      </c>
      <c r="G113" s="238"/>
      <c r="H113" s="238"/>
    </row>
    <row r="114" spans="1:9" ht="15.75" customHeight="1">
      <c r="A114" s="577"/>
      <c r="B114" s="578"/>
      <c r="C114" s="572">
        <f>+'Distribucion Programas I'!F158</f>
        <v>0</v>
      </c>
      <c r="D114" s="572">
        <f>+'Distribucion Programas II '!Q159</f>
        <v>0</v>
      </c>
      <c r="E114" s="572">
        <f>+'Distribucion Programas III UTGV'!C158</f>
        <v>0</v>
      </c>
      <c r="F114" s="573">
        <f t="shared" si="1"/>
        <v>0</v>
      </c>
      <c r="G114" s="238"/>
      <c r="H114" s="238"/>
    </row>
    <row r="115" spans="1:9" ht="15.75" customHeight="1">
      <c r="A115" s="575" t="s">
        <v>252</v>
      </c>
      <c r="B115" s="575" t="s">
        <v>253</v>
      </c>
      <c r="C115" s="572">
        <f>+'Distribucion Programas I'!F159</f>
        <v>2503306.6</v>
      </c>
      <c r="D115" s="572">
        <f>+'Distribucion Programas II '!Q160</f>
        <v>17745051.060000002</v>
      </c>
      <c r="E115" s="572">
        <f>+'Distribucion Programas III UTGV'!C159</f>
        <v>11000000</v>
      </c>
      <c r="F115" s="573">
        <f t="shared" si="1"/>
        <v>31248357.660000004</v>
      </c>
      <c r="G115" s="238"/>
      <c r="H115" s="238"/>
    </row>
    <row r="116" spans="1:9" s="8" customFormat="1" ht="15.75" customHeight="1">
      <c r="A116" s="576" t="s">
        <v>624</v>
      </c>
      <c r="B116" s="576" t="s">
        <v>434</v>
      </c>
      <c r="C116" s="719">
        <f>+'Distribucion Programas I'!F160</f>
        <v>600000</v>
      </c>
      <c r="D116" s="719">
        <f>+'Distribucion Programas II '!Q161</f>
        <v>3750000</v>
      </c>
      <c r="E116" s="719">
        <f>+'Distribucion Programas III UTGV'!C160</f>
        <v>1500000</v>
      </c>
      <c r="F116" s="571">
        <f t="shared" si="1"/>
        <v>5850000</v>
      </c>
      <c r="G116" s="238"/>
      <c r="H116" s="238"/>
    </row>
    <row r="117" spans="1:9" s="8" customFormat="1" ht="15.75" customHeight="1">
      <c r="A117" s="576" t="s">
        <v>626</v>
      </c>
      <c r="B117" s="576" t="s">
        <v>436</v>
      </c>
      <c r="C117" s="719">
        <f>+'Distribucion Programas I'!F162</f>
        <v>600000</v>
      </c>
      <c r="D117" s="719">
        <f>+'Distribucion Programas II '!Q163</f>
        <v>3150000</v>
      </c>
      <c r="E117" s="719">
        <f>+'Distribucion Programas III UTGV'!C162</f>
        <v>1500000</v>
      </c>
      <c r="F117" s="571">
        <f t="shared" si="1"/>
        <v>5250000</v>
      </c>
      <c r="G117" s="238"/>
      <c r="H117" s="238"/>
    </row>
    <row r="118" spans="1:9" s="8" customFormat="1" ht="15.75" customHeight="1">
      <c r="A118" s="576" t="s">
        <v>627</v>
      </c>
      <c r="B118" s="576" t="s">
        <v>437</v>
      </c>
      <c r="C118" s="719">
        <f>+'Distribucion Programas I'!F163</f>
        <v>479986.6</v>
      </c>
      <c r="D118" s="719">
        <f>+'Distribucion Programas II '!Q164</f>
        <v>2545051.06</v>
      </c>
      <c r="E118" s="719">
        <f>+'Distribucion Programas III UTGV'!C163</f>
        <v>0</v>
      </c>
      <c r="F118" s="571">
        <f t="shared" si="1"/>
        <v>3025037.66</v>
      </c>
      <c r="G118" s="238"/>
      <c r="H118" s="238"/>
    </row>
    <row r="119" spans="1:9" s="8" customFormat="1" ht="15.75" customHeight="1">
      <c r="A119" s="576" t="s">
        <v>628</v>
      </c>
      <c r="B119" s="576" t="s">
        <v>438</v>
      </c>
      <c r="C119" s="719">
        <f>+'Distribucion Programas I'!F164</f>
        <v>500000</v>
      </c>
      <c r="D119" s="719">
        <f>+'Distribucion Programas II '!Q165</f>
        <v>5300000</v>
      </c>
      <c r="E119" s="719">
        <f>+'Distribucion Programas III UTGV'!C164</f>
        <v>1500000</v>
      </c>
      <c r="F119" s="571">
        <f t="shared" si="1"/>
        <v>7300000</v>
      </c>
      <c r="G119" s="238"/>
      <c r="H119" s="238"/>
    </row>
    <row r="120" spans="1:9" s="8" customFormat="1" ht="15.75" customHeight="1">
      <c r="A120" s="576" t="s">
        <v>629</v>
      </c>
      <c r="B120" s="576" t="s">
        <v>439</v>
      </c>
      <c r="C120" s="719">
        <f>+'Distribucion Programas I'!F165</f>
        <v>323320</v>
      </c>
      <c r="D120" s="719">
        <f>+'Distribucion Programas II '!Q166</f>
        <v>2500000</v>
      </c>
      <c r="E120" s="719">
        <f>+'Distribucion Programas III UTGV'!C165</f>
        <v>6000000</v>
      </c>
      <c r="F120" s="571">
        <f t="shared" si="1"/>
        <v>8823320</v>
      </c>
      <c r="G120" s="238"/>
      <c r="H120" s="238"/>
    </row>
    <row r="121" spans="1:9" s="8" customFormat="1" ht="15.75" customHeight="1">
      <c r="A121" s="576" t="s">
        <v>631</v>
      </c>
      <c r="B121" s="576" t="s">
        <v>441</v>
      </c>
      <c r="C121" s="719">
        <f>+'Distribucion Programas I'!F167</f>
        <v>0</v>
      </c>
      <c r="D121" s="719">
        <f>+'Distribucion Programas II '!Q168</f>
        <v>0</v>
      </c>
      <c r="E121" s="719">
        <f>+'Distribucion Programas III UTGV'!C167</f>
        <v>500000</v>
      </c>
      <c r="F121" s="571">
        <f t="shared" si="1"/>
        <v>500000</v>
      </c>
      <c r="G121" s="238"/>
      <c r="H121" s="238"/>
    </row>
    <row r="122" spans="1:9" ht="15.75" customHeight="1">
      <c r="A122" s="577"/>
      <c r="B122" s="578"/>
      <c r="C122" s="572">
        <f>+'Distribucion Programas I'!F168</f>
        <v>0</v>
      </c>
      <c r="D122" s="572">
        <f>+'Distribucion Programas II '!Q169</f>
        <v>0</v>
      </c>
      <c r="E122" s="572">
        <f>+'Distribucion Programas III UTGV'!C168</f>
        <v>0</v>
      </c>
      <c r="F122" s="573">
        <f t="shared" si="1"/>
        <v>0</v>
      </c>
      <c r="G122" s="238"/>
      <c r="H122" s="238"/>
    </row>
    <row r="123" spans="1:9" ht="15.75" customHeight="1">
      <c r="A123" s="575">
        <v>3</v>
      </c>
      <c r="B123" s="575" t="s">
        <v>193</v>
      </c>
      <c r="C123" s="572">
        <f>+'Distribucion Programas I'!F169</f>
        <v>2069949.5399999998</v>
      </c>
      <c r="D123" s="572">
        <f>+'Distribucion Programas II '!Q170</f>
        <v>1379966.36</v>
      </c>
      <c r="E123" s="572">
        <f>+'Distribucion Programas III UTGV'!C169</f>
        <v>28973967.510000002</v>
      </c>
      <c r="F123" s="573">
        <f t="shared" si="1"/>
        <v>32423883.41</v>
      </c>
      <c r="G123" s="238"/>
      <c r="H123" s="238"/>
    </row>
    <row r="124" spans="1:9" ht="15.75" customHeight="1">
      <c r="A124" s="576"/>
      <c r="B124" s="576"/>
      <c r="C124" s="572">
        <f>+'Distribucion Programas I'!F175</f>
        <v>0</v>
      </c>
      <c r="D124" s="572">
        <f>+'Distribucion Programas II '!Q176</f>
        <v>0</v>
      </c>
      <c r="E124" s="572">
        <f>+'Distribucion Programas III UTGV'!C175</f>
        <v>0</v>
      </c>
      <c r="F124" s="573">
        <f t="shared" si="1"/>
        <v>0</v>
      </c>
      <c r="G124" s="238"/>
      <c r="H124" s="238"/>
    </row>
    <row r="125" spans="1:9" ht="15.75" customHeight="1">
      <c r="A125" s="575" t="s">
        <v>256</v>
      </c>
      <c r="B125" s="575" t="s">
        <v>257</v>
      </c>
      <c r="C125" s="572">
        <f>+'Distribucion Programas I'!F176</f>
        <v>2069949.5399999998</v>
      </c>
      <c r="D125" s="572">
        <f>+'Distribucion Programas II '!Q177</f>
        <v>1379966.36</v>
      </c>
      <c r="E125" s="572">
        <f>+'Distribucion Programas III UTGV'!C176</f>
        <v>28973967.510000002</v>
      </c>
      <c r="F125" s="573">
        <f t="shared" si="1"/>
        <v>32423883.41</v>
      </c>
      <c r="G125" s="238"/>
      <c r="H125" s="238"/>
    </row>
    <row r="126" spans="1:9" s="8" customFormat="1" ht="30.75" customHeight="1">
      <c r="A126" s="576" t="s">
        <v>645</v>
      </c>
      <c r="B126" s="576" t="s">
        <v>652</v>
      </c>
      <c r="C126" s="719">
        <f>+'Distribucion Programas I'!F182</f>
        <v>2069949.5399999998</v>
      </c>
      <c r="D126" s="719">
        <f>+'Distribucion Programas II '!Q183</f>
        <v>1379966.36</v>
      </c>
      <c r="E126" s="719">
        <f>+'Distribucion Programas III UTGV'!C182</f>
        <v>28973967.510000002</v>
      </c>
      <c r="F126" s="571">
        <f t="shared" si="1"/>
        <v>32423883.41</v>
      </c>
      <c r="G126" s="238"/>
      <c r="H126" s="238"/>
    </row>
    <row r="127" spans="1:9" ht="15.75" customHeight="1">
      <c r="A127" s="577"/>
      <c r="B127" s="578"/>
      <c r="C127" s="572">
        <f>+'Distribucion Programas I'!F221</f>
        <v>0</v>
      </c>
      <c r="D127" s="572">
        <f>+'Distribucion Programas II '!Q222</f>
        <v>0</v>
      </c>
      <c r="E127" s="572">
        <f>+'Distribucion Programas III UTGV'!C221</f>
        <v>0</v>
      </c>
      <c r="F127" s="573">
        <f t="shared" si="1"/>
        <v>0</v>
      </c>
      <c r="G127" s="238"/>
      <c r="H127" s="238"/>
      <c r="I127" s="855"/>
    </row>
    <row r="128" spans="1:9" ht="15.75" customHeight="1">
      <c r="A128" s="575">
        <v>5</v>
      </c>
      <c r="B128" s="575" t="s">
        <v>724</v>
      </c>
      <c r="C128" s="572">
        <f>+'Distribucion Programas I'!F222</f>
        <v>0</v>
      </c>
      <c r="D128" s="572">
        <f>+'Distribucion Programas II '!Q223</f>
        <v>9500403.4199999999</v>
      </c>
      <c r="E128" s="572">
        <f>+E129+E142+E146+E149</f>
        <v>760969268.14814818</v>
      </c>
      <c r="F128" s="573">
        <f t="shared" si="1"/>
        <v>770469671.56814814</v>
      </c>
      <c r="G128" s="238"/>
      <c r="H128" s="238"/>
      <c r="I128" s="855"/>
    </row>
    <row r="129" spans="1:9" ht="15.75" customHeight="1">
      <c r="A129" s="575" t="s">
        <v>266</v>
      </c>
      <c r="B129" s="575" t="s">
        <v>267</v>
      </c>
      <c r="C129" s="572">
        <f>+'Distribucion Programas I'!F223</f>
        <v>0</v>
      </c>
      <c r="D129" s="572">
        <f>+'Distribucion Programas II '!Q224</f>
        <v>5000403.42</v>
      </c>
      <c r="E129" s="572">
        <f>SUM(E130:E136)</f>
        <v>8000000</v>
      </c>
      <c r="F129" s="573">
        <f t="shared" si="1"/>
        <v>13000403.42</v>
      </c>
      <c r="G129" s="238"/>
      <c r="H129" s="238"/>
      <c r="I129" s="855"/>
    </row>
    <row r="130" spans="1:9" s="8" customFormat="1" ht="15.75" customHeight="1">
      <c r="A130" s="576" t="s">
        <v>725</v>
      </c>
      <c r="B130" s="576" t="s">
        <v>733</v>
      </c>
      <c r="C130" s="719">
        <f>+'Distribucion Programas I'!F224</f>
        <v>0</v>
      </c>
      <c r="D130" s="719">
        <f>+'Distribucion Programas II '!Q225</f>
        <v>0</v>
      </c>
      <c r="E130" s="719">
        <f>+'Distribucion Programas III UTGV'!C224</f>
        <v>0</v>
      </c>
      <c r="F130" s="571">
        <f t="shared" si="1"/>
        <v>0</v>
      </c>
      <c r="G130" s="238"/>
      <c r="H130" s="238"/>
    </row>
    <row r="131" spans="1:9" s="8" customFormat="1" ht="15.75" customHeight="1">
      <c r="A131" s="576" t="s">
        <v>726</v>
      </c>
      <c r="B131" s="576" t="s">
        <v>734</v>
      </c>
      <c r="C131" s="719">
        <f>+'Distribucion Programas I'!F225</f>
        <v>0</v>
      </c>
      <c r="D131" s="719">
        <f>+'Distribucion Programas II '!Q226</f>
        <v>0</v>
      </c>
      <c r="E131" s="719">
        <f>+'Distribucion Programas III UTGV'!C225</f>
        <v>3500000</v>
      </c>
      <c r="F131" s="571">
        <f t="shared" si="1"/>
        <v>3500000</v>
      </c>
      <c r="G131" s="238"/>
      <c r="H131" s="238"/>
    </row>
    <row r="132" spans="1:9" s="8" customFormat="1" ht="15.75" customHeight="1">
      <c r="A132" s="576" t="s">
        <v>727</v>
      </c>
      <c r="B132" s="576" t="s">
        <v>735</v>
      </c>
      <c r="C132" s="719">
        <f>+'Distribucion Programas I'!F226</f>
        <v>0</v>
      </c>
      <c r="D132" s="719">
        <f>+'Distribucion Programas II '!Q227</f>
        <v>0</v>
      </c>
      <c r="E132" s="719">
        <f>+'Distribucion Programas III UTGV'!C226</f>
        <v>0</v>
      </c>
      <c r="F132" s="571">
        <f t="shared" si="1"/>
        <v>0</v>
      </c>
      <c r="G132" s="238"/>
      <c r="H132" s="238"/>
    </row>
    <row r="133" spans="1:9" s="8" customFormat="1" ht="15.75" customHeight="1">
      <c r="A133" s="576" t="s">
        <v>728</v>
      </c>
      <c r="B133" s="576" t="s">
        <v>736</v>
      </c>
      <c r="C133" s="719">
        <f>+'Distribucion Programas I'!F227</f>
        <v>0</v>
      </c>
      <c r="D133" s="719">
        <f>+'Distribucion Programas II '!Q228</f>
        <v>0</v>
      </c>
      <c r="E133" s="719">
        <f>+'Distribucion Programas III UTGV'!C227</f>
        <v>2000000</v>
      </c>
      <c r="F133" s="571">
        <f t="shared" si="1"/>
        <v>2000000</v>
      </c>
      <c r="G133" s="238"/>
      <c r="H133" s="238"/>
    </row>
    <row r="134" spans="1:9" s="8" customFormat="1" ht="15.75" customHeight="1">
      <c r="A134" s="576" t="s">
        <v>729</v>
      </c>
      <c r="B134" s="576" t="s">
        <v>737</v>
      </c>
      <c r="C134" s="719">
        <f>+'Distribucion Programas I'!F228</f>
        <v>0</v>
      </c>
      <c r="D134" s="719">
        <f>+'Distribucion Programas II '!Q229</f>
        <v>1500000</v>
      </c>
      <c r="E134" s="719">
        <f>+'Distribucion Programas III UTGV'!C228</f>
        <v>2500000</v>
      </c>
      <c r="F134" s="571">
        <f t="shared" si="1"/>
        <v>4000000</v>
      </c>
      <c r="G134" s="238"/>
      <c r="H134" s="238"/>
    </row>
    <row r="135" spans="1:9" s="8" customFormat="1" ht="15.75" customHeight="1">
      <c r="A135" s="576" t="s">
        <v>731</v>
      </c>
      <c r="B135" s="576" t="s">
        <v>739</v>
      </c>
      <c r="C135" s="719">
        <f>+'Distribucion Programas I'!F230</f>
        <v>0</v>
      </c>
      <c r="D135" s="719">
        <f>+'Distribucion Programas II '!Q231</f>
        <v>500000</v>
      </c>
      <c r="E135" s="719">
        <f>+'Distribucion Programas III UTGV'!C230</f>
        <v>0</v>
      </c>
      <c r="F135" s="571">
        <f t="shared" si="1"/>
        <v>500000</v>
      </c>
      <c r="G135" s="238"/>
      <c r="H135" s="238"/>
    </row>
    <row r="136" spans="1:9" s="8" customFormat="1" ht="15.75" customHeight="1">
      <c r="A136" s="576" t="s">
        <v>732</v>
      </c>
      <c r="B136" s="576" t="s">
        <v>740</v>
      </c>
      <c r="C136" s="719">
        <f>+'Distribucion Programas I'!F231</f>
        <v>0</v>
      </c>
      <c r="D136" s="719">
        <f>+'Distribucion Programas II '!Q232</f>
        <v>3000403.42</v>
      </c>
      <c r="E136" s="719">
        <f>+'Distribucion Programas III UTGV'!C231</f>
        <v>0</v>
      </c>
      <c r="F136" s="571">
        <f t="shared" si="1"/>
        <v>3000403.42</v>
      </c>
      <c r="G136" s="238"/>
      <c r="H136" s="238"/>
    </row>
    <row r="137" spans="1:9" ht="15.75" customHeight="1">
      <c r="A137" s="718"/>
      <c r="B137" s="578"/>
      <c r="C137" s="572">
        <f>+'Distribucion Programas I'!F232</f>
        <v>0</v>
      </c>
      <c r="D137" s="572"/>
      <c r="E137" s="572">
        <f>+'Distribucion Programas III UTGV'!C232</f>
        <v>0</v>
      </c>
      <c r="F137" s="573"/>
      <c r="G137" s="238"/>
      <c r="H137" s="238"/>
    </row>
    <row r="138" spans="1:9" ht="15.75" customHeight="1">
      <c r="A138" s="718"/>
      <c r="B138" s="578"/>
      <c r="C138" s="572"/>
      <c r="D138" s="572"/>
      <c r="E138" s="572"/>
      <c r="F138" s="573"/>
      <c r="G138" s="238"/>
      <c r="H138" s="238"/>
    </row>
    <row r="139" spans="1:9" ht="15.75" customHeight="1">
      <c r="A139" s="718"/>
      <c r="B139" s="578"/>
      <c r="C139" s="572"/>
      <c r="D139" s="572"/>
      <c r="E139" s="572"/>
      <c r="F139" s="573"/>
      <c r="G139" s="238"/>
      <c r="H139" s="238"/>
    </row>
    <row r="140" spans="1:9" ht="15.75" customHeight="1">
      <c r="A140" s="718"/>
      <c r="B140" s="578"/>
      <c r="C140" s="572"/>
      <c r="D140" s="572"/>
      <c r="E140" s="572"/>
      <c r="F140" s="720">
        <v>6</v>
      </c>
      <c r="G140" s="238"/>
      <c r="H140" s="238"/>
    </row>
    <row r="141" spans="1:9" ht="15.75" customHeight="1">
      <c r="A141" s="718"/>
      <c r="B141" s="578"/>
      <c r="C141" s="572"/>
      <c r="D141" s="572"/>
      <c r="E141" s="572"/>
      <c r="F141" s="573"/>
      <c r="G141" s="238"/>
      <c r="H141" s="238"/>
    </row>
    <row r="142" spans="1:9" ht="15.75" customHeight="1">
      <c r="A142" s="575" t="s">
        <v>268</v>
      </c>
      <c r="B142" s="575" t="s">
        <v>269</v>
      </c>
      <c r="C142" s="572">
        <f>+'Distribucion Programas I'!F233</f>
        <v>0</v>
      </c>
      <c r="D142" s="572">
        <f>+'Distribucion Programas II '!Q234</f>
        <v>0</v>
      </c>
      <c r="E142" s="572">
        <f>+E143+E144</f>
        <v>749969268.14814818</v>
      </c>
      <c r="F142" s="573">
        <f>+C142+D142+E142</f>
        <v>749969268.14814818</v>
      </c>
      <c r="G142" s="238"/>
      <c r="H142" s="238"/>
    </row>
    <row r="143" spans="1:9" ht="15.75" customHeight="1">
      <c r="A143" s="576" t="s">
        <v>667</v>
      </c>
      <c r="B143" s="576" t="s">
        <v>122</v>
      </c>
      <c r="C143" s="572"/>
      <c r="D143" s="572"/>
      <c r="E143" s="719">
        <f>+'Distribucion Programas III UTGV'!C234</f>
        <v>0</v>
      </c>
      <c r="F143" s="571">
        <f>+E143</f>
        <v>0</v>
      </c>
      <c r="G143" s="238"/>
      <c r="H143" s="238"/>
    </row>
    <row r="144" spans="1:9" s="8" customFormat="1" ht="15.75" customHeight="1">
      <c r="A144" s="576" t="s">
        <v>742</v>
      </c>
      <c r="B144" s="576" t="s">
        <v>750</v>
      </c>
      <c r="C144" s="719">
        <f>+'Distribucion Programas I'!F235</f>
        <v>0</v>
      </c>
      <c r="D144" s="719">
        <f>+'Distribucion Programas II '!Q236</f>
        <v>0</v>
      </c>
      <c r="E144" s="719">
        <f>+'Distribucion Programas III UTGV'!C235+'Distrib Programas III Poyectos'!X10-100000</f>
        <v>749969268.14814818</v>
      </c>
      <c r="F144" s="571">
        <f t="shared" ref="F144:F171" si="2">+C144+D144+E144</f>
        <v>749969268.14814818</v>
      </c>
      <c r="G144" s="238"/>
      <c r="H144" s="238"/>
    </row>
    <row r="145" spans="1:8" ht="15.75" customHeight="1">
      <c r="A145" s="577"/>
      <c r="B145" s="578"/>
      <c r="C145" s="572">
        <f>+'Distribucion Programas I'!F242</f>
        <v>0</v>
      </c>
      <c r="D145" s="572">
        <f>+'Distribucion Programas II '!Q243</f>
        <v>0</v>
      </c>
      <c r="E145" s="572">
        <f>+'Distribucion Programas III UTGV'!C242</f>
        <v>0</v>
      </c>
      <c r="F145" s="573">
        <f t="shared" si="2"/>
        <v>0</v>
      </c>
      <c r="G145" s="238"/>
      <c r="H145" s="238"/>
    </row>
    <row r="146" spans="1:8" ht="15.75" customHeight="1">
      <c r="A146" s="575" t="s">
        <v>270</v>
      </c>
      <c r="B146" s="575" t="s">
        <v>271</v>
      </c>
      <c r="C146" s="572">
        <f>+'Distribucion Programas I'!F243</f>
        <v>0</v>
      </c>
      <c r="D146" s="572">
        <f>+'Distribucion Programas II '!Q244</f>
        <v>0</v>
      </c>
      <c r="E146" s="572">
        <f>+E147</f>
        <v>0</v>
      </c>
      <c r="F146" s="573">
        <f t="shared" si="2"/>
        <v>0</v>
      </c>
      <c r="G146" s="238"/>
      <c r="H146" s="238"/>
    </row>
    <row r="147" spans="1:8" s="8" customFormat="1" ht="15.75" customHeight="1">
      <c r="A147" s="576" t="s">
        <v>757</v>
      </c>
      <c r="B147" s="576" t="s">
        <v>760</v>
      </c>
      <c r="C147" s="719">
        <f>+'Distribucion Programas I'!F244</f>
        <v>0</v>
      </c>
      <c r="D147" s="719">
        <f>+'Distribucion Programas II '!Q245</f>
        <v>0</v>
      </c>
      <c r="E147" s="719">
        <v>0</v>
      </c>
      <c r="F147" s="571">
        <f t="shared" si="2"/>
        <v>0</v>
      </c>
      <c r="G147" s="238"/>
      <c r="H147" s="238"/>
    </row>
    <row r="148" spans="1:8" s="8" customFormat="1" ht="15.75" customHeight="1">
      <c r="A148" s="576"/>
      <c r="B148" s="576"/>
      <c r="C148" s="719"/>
      <c r="D148" s="719"/>
      <c r="E148" s="719"/>
      <c r="F148" s="571"/>
      <c r="G148" s="238"/>
      <c r="H148" s="238"/>
    </row>
    <row r="149" spans="1:8" s="8" customFormat="1" ht="15.75" customHeight="1">
      <c r="A149" s="575">
        <v>5.99</v>
      </c>
      <c r="B149" s="575" t="s">
        <v>273</v>
      </c>
      <c r="C149" s="572"/>
      <c r="D149" s="572"/>
      <c r="E149" s="572">
        <f>+E150</f>
        <v>3000000</v>
      </c>
      <c r="F149" s="573">
        <f t="shared" si="2"/>
        <v>3000000</v>
      </c>
      <c r="G149" s="238"/>
      <c r="H149" s="238"/>
    </row>
    <row r="150" spans="1:8" s="8" customFormat="1" ht="15.75" customHeight="1">
      <c r="A150" s="837" t="s">
        <v>1442</v>
      </c>
      <c r="B150" s="837" t="s">
        <v>1443</v>
      </c>
      <c r="C150" s="719"/>
      <c r="D150" s="719"/>
      <c r="E150" s="719">
        <f>+'Distribucion Programas III UTGV'!C251</f>
        <v>3000000</v>
      </c>
      <c r="F150" s="571">
        <f t="shared" si="2"/>
        <v>3000000</v>
      </c>
      <c r="G150" s="238"/>
      <c r="H150" s="238"/>
    </row>
    <row r="151" spans="1:8" ht="15.75" customHeight="1">
      <c r="A151" s="577"/>
      <c r="B151" s="578"/>
      <c r="C151" s="572">
        <f>+'Distribucion Programas I'!F247</f>
        <v>0</v>
      </c>
      <c r="D151" s="572">
        <f>+'Distribucion Programas II '!Q248</f>
        <v>0</v>
      </c>
      <c r="E151" s="572">
        <f>+'Distribucion Programas III UTGV'!C247</f>
        <v>0</v>
      </c>
      <c r="F151" s="573">
        <f t="shared" si="2"/>
        <v>0</v>
      </c>
      <c r="G151" s="238"/>
      <c r="H151" s="238"/>
    </row>
    <row r="152" spans="1:8" ht="15.75" customHeight="1">
      <c r="A152" s="577"/>
      <c r="B152" s="578"/>
      <c r="C152" s="572">
        <f>+'Distribucion Programas I'!F253</f>
        <v>0</v>
      </c>
      <c r="D152" s="572">
        <f>+'Distribucion Programas II '!Q254</f>
        <v>0</v>
      </c>
      <c r="E152" s="572">
        <f>+'Distribucion Programas III UTGV'!C253</f>
        <v>0</v>
      </c>
      <c r="F152" s="573">
        <f t="shared" si="2"/>
        <v>0</v>
      </c>
      <c r="G152" s="238"/>
      <c r="H152" s="238"/>
    </row>
    <row r="153" spans="1:8" ht="15.75" customHeight="1">
      <c r="A153" s="575">
        <v>6</v>
      </c>
      <c r="B153" s="575" t="s">
        <v>771</v>
      </c>
      <c r="C153" s="572">
        <f>+'Distribucion Programas I'!F254</f>
        <v>82043760.431041673</v>
      </c>
      <c r="D153" s="572">
        <f>+'Distribucion Programas II '!Q255</f>
        <v>9184462.0899999999</v>
      </c>
      <c r="E153" s="572">
        <f>+E154+E160+E163</f>
        <v>8100000</v>
      </c>
      <c r="F153" s="573">
        <f t="shared" si="2"/>
        <v>99328222.521041676</v>
      </c>
      <c r="G153" s="238"/>
      <c r="H153" s="238"/>
    </row>
    <row r="154" spans="1:8" ht="15.75" customHeight="1">
      <c r="A154" s="575" t="s">
        <v>274</v>
      </c>
      <c r="B154" s="575" t="s">
        <v>275</v>
      </c>
      <c r="C154" s="572">
        <f>+'Distribucion Programas I'!F255</f>
        <v>80614498.115375012</v>
      </c>
      <c r="D154" s="572">
        <f>+'Distribucion Programas II '!Q256</f>
        <v>5000000</v>
      </c>
      <c r="E154" s="572">
        <f>+'Distribucion Programas III UTGV'!C255</f>
        <v>0</v>
      </c>
      <c r="F154" s="573">
        <f t="shared" si="2"/>
        <v>85614498.115375012</v>
      </c>
      <c r="G154" s="238"/>
      <c r="H154" s="238"/>
    </row>
    <row r="155" spans="1:8" s="8" customFormat="1" ht="15.75" customHeight="1">
      <c r="A155" s="576" t="s">
        <v>815</v>
      </c>
      <c r="B155" s="576" t="s">
        <v>824</v>
      </c>
      <c r="C155" s="719">
        <f>+'Distribucion Programas I'!F256</f>
        <v>1840000</v>
      </c>
      <c r="D155" s="719">
        <f>+'Distribucion Programas II '!Q257</f>
        <v>0</v>
      </c>
      <c r="E155" s="719">
        <f>+'Distribucion Programas III UTGV'!C256</f>
        <v>0</v>
      </c>
      <c r="F155" s="571">
        <f t="shared" si="2"/>
        <v>1840000</v>
      </c>
      <c r="G155" s="238"/>
      <c r="H155" s="238"/>
    </row>
    <row r="156" spans="1:8" s="8" customFormat="1" ht="15.75" customHeight="1">
      <c r="A156" s="576" t="s">
        <v>816</v>
      </c>
      <c r="B156" s="576" t="s">
        <v>825</v>
      </c>
      <c r="C156" s="719">
        <f>+'Distribucion Programas I'!F257</f>
        <v>6980000</v>
      </c>
      <c r="D156" s="719">
        <f>+'Distribucion Programas II '!Q258</f>
        <v>5000000</v>
      </c>
      <c r="E156" s="719">
        <f>+'Distribucion Programas III UTGV'!C257</f>
        <v>0</v>
      </c>
      <c r="F156" s="571">
        <f t="shared" si="2"/>
        <v>11980000</v>
      </c>
      <c r="G156" s="238"/>
      <c r="H156" s="238"/>
    </row>
    <row r="157" spans="1:8" s="8" customFormat="1" ht="27.75" customHeight="1">
      <c r="A157" s="576" t="s">
        <v>817</v>
      </c>
      <c r="B157" s="576" t="s">
        <v>826</v>
      </c>
      <c r="C157" s="719">
        <f>+'Distribucion Programas I'!F258</f>
        <v>41465933.082050003</v>
      </c>
      <c r="D157" s="719">
        <f>+'Distribucion Programas II '!Q259</f>
        <v>0</v>
      </c>
      <c r="E157" s="719">
        <f>+'Distribucion Programas III UTGV'!C258</f>
        <v>0</v>
      </c>
      <c r="F157" s="571">
        <f t="shared" si="2"/>
        <v>41465933.082050003</v>
      </c>
      <c r="G157" s="238"/>
      <c r="H157" s="238"/>
    </row>
    <row r="158" spans="1:8" s="8" customFormat="1" ht="21" customHeight="1">
      <c r="A158" s="576" t="s">
        <v>818</v>
      </c>
      <c r="B158" s="576" t="s">
        <v>827</v>
      </c>
      <c r="C158" s="719">
        <f>+'Distribucion Programas I'!F259</f>
        <v>30328565.033325002</v>
      </c>
      <c r="D158" s="719">
        <f>+'Distribucion Programas II '!Q260</f>
        <v>0</v>
      </c>
      <c r="E158" s="719">
        <f>+'Distribucion Programas III UTGV'!C259</f>
        <v>0</v>
      </c>
      <c r="F158" s="571">
        <f t="shared" si="2"/>
        <v>30328565.033325002</v>
      </c>
      <c r="G158" s="238"/>
      <c r="H158" s="238"/>
    </row>
    <row r="159" spans="1:8" ht="15.75" customHeight="1">
      <c r="A159" s="577"/>
      <c r="B159" s="578"/>
      <c r="C159" s="572">
        <f>+'Distribucion Programas I'!F265</f>
        <v>0</v>
      </c>
      <c r="D159" s="572">
        <f>+'Distribucion Programas II '!Q266</f>
        <v>0</v>
      </c>
      <c r="E159" s="572">
        <f>+'Distribucion Programas III UTGV'!C265</f>
        <v>0</v>
      </c>
      <c r="F159" s="573">
        <f t="shared" si="2"/>
        <v>0</v>
      </c>
      <c r="G159" s="238"/>
      <c r="H159" s="238"/>
    </row>
    <row r="160" spans="1:8" ht="15.75" customHeight="1">
      <c r="A160" s="575" t="s">
        <v>276</v>
      </c>
      <c r="B160" s="575" t="s">
        <v>277</v>
      </c>
      <c r="C160" s="572">
        <f>+'Distribucion Programas I'!F266</f>
        <v>0</v>
      </c>
      <c r="D160" s="572">
        <f>+'Distribucion Programas II '!Q267</f>
        <v>550000</v>
      </c>
      <c r="E160" s="572">
        <f>+E161</f>
        <v>100000</v>
      </c>
      <c r="F160" s="573">
        <f t="shared" si="2"/>
        <v>650000</v>
      </c>
      <c r="G160" s="238"/>
      <c r="H160" s="238"/>
    </row>
    <row r="161" spans="1:8" s="8" customFormat="1" ht="15.75" customHeight="1">
      <c r="A161" s="837" t="s">
        <v>1346</v>
      </c>
      <c r="B161" s="837" t="s">
        <v>1347</v>
      </c>
      <c r="C161" s="719">
        <f>+'Distribucion Programas I'!F270</f>
        <v>0</v>
      </c>
      <c r="D161" s="719">
        <f>+'Distribucion Programas II '!Q271</f>
        <v>0</v>
      </c>
      <c r="E161" s="719">
        <f>+'Distribucion Programas III UTGV'!C269</f>
        <v>100000</v>
      </c>
      <c r="F161" s="571">
        <f t="shared" si="2"/>
        <v>100000</v>
      </c>
      <c r="G161" s="238"/>
      <c r="H161" s="238"/>
    </row>
    <row r="162" spans="1:8" ht="15.75" customHeight="1">
      <c r="A162" s="577"/>
      <c r="B162" s="578"/>
      <c r="C162" s="572">
        <f>+'Distribucion Programas I'!F271</f>
        <v>0</v>
      </c>
      <c r="D162" s="572">
        <f>+'Distribucion Programas II '!Q272</f>
        <v>0</v>
      </c>
      <c r="E162" s="572">
        <f>+'Distribucion Programas III UTGV'!C271</f>
        <v>0</v>
      </c>
      <c r="F162" s="573">
        <f t="shared" si="2"/>
        <v>0</v>
      </c>
      <c r="G162" s="238"/>
      <c r="H162" s="238"/>
    </row>
    <row r="163" spans="1:8" ht="15.75" customHeight="1">
      <c r="A163" s="575" t="s">
        <v>278</v>
      </c>
      <c r="B163" s="575" t="s">
        <v>279</v>
      </c>
      <c r="C163" s="572">
        <f>+'Distribucion Programas I'!F272</f>
        <v>1429262.3156666665</v>
      </c>
      <c r="D163" s="572">
        <f>+'Distribucion Programas II '!Q273</f>
        <v>1634462.0899999999</v>
      </c>
      <c r="E163" s="572">
        <f>+'Distribucion Programas III UTGV'!C272</f>
        <v>8000000</v>
      </c>
      <c r="F163" s="573">
        <f t="shared" si="2"/>
        <v>11063724.405666666</v>
      </c>
      <c r="G163" s="238"/>
      <c r="H163" s="238"/>
    </row>
    <row r="164" spans="1:8" s="8" customFormat="1" ht="15.75" customHeight="1">
      <c r="A164" s="576" t="s">
        <v>780</v>
      </c>
      <c r="B164" s="576" t="s">
        <v>786</v>
      </c>
      <c r="C164" s="719">
        <f>+'Distribucion Programas I'!F273</f>
        <v>0</v>
      </c>
      <c r="D164" s="719">
        <f>+'Distribucion Programas II '!Q274</f>
        <v>1634462.0899999999</v>
      </c>
      <c r="E164" s="719">
        <f>+'Distribucion Programas III UTGV'!C273</f>
        <v>8000000</v>
      </c>
      <c r="F164" s="571">
        <f t="shared" si="2"/>
        <v>9634462.0899999999</v>
      </c>
      <c r="G164" s="238"/>
      <c r="H164" s="238"/>
    </row>
    <row r="165" spans="1:8" s="8" customFormat="1" ht="15.75" customHeight="1">
      <c r="A165" s="576" t="s">
        <v>782</v>
      </c>
      <c r="B165" s="576" t="s">
        <v>788</v>
      </c>
      <c r="C165" s="719">
        <f>+'Distribucion Programas I'!F275</f>
        <v>1266702.2</v>
      </c>
      <c r="D165" s="719">
        <f>+'Distribucion Programas II '!Q276</f>
        <v>0</v>
      </c>
      <c r="E165" s="719">
        <f>+'Distribucion Programas III UTGV'!C275</f>
        <v>0</v>
      </c>
      <c r="F165" s="571">
        <f t="shared" si="2"/>
        <v>1266702.2</v>
      </c>
      <c r="G165" s="238"/>
      <c r="H165" s="238"/>
    </row>
    <row r="166" spans="1:8" s="8" customFormat="1" ht="15.75" customHeight="1">
      <c r="A166" s="576" t="s">
        <v>783</v>
      </c>
      <c r="B166" s="580" t="s">
        <v>789</v>
      </c>
      <c r="C166" s="719">
        <f>+'Distribucion Programas I'!F276</f>
        <v>105558.51666666666</v>
      </c>
      <c r="D166" s="719">
        <f>+'Distribucion Programas II '!Q277</f>
        <v>0</v>
      </c>
      <c r="E166" s="719">
        <f>+'Distribucion Programas III UTGV'!C276</f>
        <v>0</v>
      </c>
      <c r="F166" s="571">
        <f t="shared" si="2"/>
        <v>105558.51666666666</v>
      </c>
      <c r="G166" s="238"/>
      <c r="H166" s="238"/>
    </row>
    <row r="167" spans="1:8" s="8" customFormat="1" ht="15.75" customHeight="1">
      <c r="A167" s="576" t="s">
        <v>784</v>
      </c>
      <c r="B167" s="580" t="s">
        <v>791</v>
      </c>
      <c r="C167" s="719">
        <f>+'Distribucion Programas I'!F277</f>
        <v>57001.598999999995</v>
      </c>
      <c r="D167" s="719">
        <f>+'Distribucion Programas II '!Q278</f>
        <v>0</v>
      </c>
      <c r="E167" s="719">
        <f>+'Distribucion Programas III UTGV'!C277</f>
        <v>0</v>
      </c>
      <c r="F167" s="571">
        <f t="shared" si="2"/>
        <v>57001.598999999995</v>
      </c>
      <c r="G167" s="238"/>
      <c r="H167" s="238"/>
    </row>
    <row r="168" spans="1:8" ht="15.75">
      <c r="A168" s="576"/>
      <c r="B168" s="576"/>
      <c r="C168" s="572"/>
      <c r="D168" s="572"/>
      <c r="E168" s="572"/>
      <c r="F168" s="573">
        <f t="shared" si="2"/>
        <v>0</v>
      </c>
      <c r="G168" s="238"/>
      <c r="H168" s="238"/>
    </row>
    <row r="169" spans="1:8" ht="15.75">
      <c r="A169" s="575">
        <v>8</v>
      </c>
      <c r="B169" s="575" t="s">
        <v>868</v>
      </c>
      <c r="C169" s="572">
        <f>+'Distribucion Programas I'!F323</f>
        <v>6163513.5239999993</v>
      </c>
      <c r="D169" s="572">
        <f>+'Distribucion Programas II '!Q324</f>
        <v>4109009.0159999998</v>
      </c>
      <c r="E169" s="572">
        <f>+'Distribucion Programas III UTGV'!C323</f>
        <v>94201402.430000007</v>
      </c>
      <c r="F169" s="573">
        <f t="shared" si="2"/>
        <v>104473924.97</v>
      </c>
      <c r="G169" s="238"/>
      <c r="H169" s="238"/>
    </row>
    <row r="170" spans="1:8" ht="15.75">
      <c r="A170" s="575" t="s">
        <v>290</v>
      </c>
      <c r="B170" s="575" t="s">
        <v>291</v>
      </c>
      <c r="C170" s="572">
        <f>+'Distribucion Programas I'!F330</f>
        <v>6163513.5239999993</v>
      </c>
      <c r="D170" s="572">
        <f>+'Distribucion Programas II '!Q331</f>
        <v>4109009.0159999998</v>
      </c>
      <c r="E170" s="572">
        <f>+'Distribucion Programas III UTGV'!C330</f>
        <v>94201402.430000007</v>
      </c>
      <c r="F170" s="573">
        <f t="shared" si="2"/>
        <v>104473924.97</v>
      </c>
      <c r="G170" s="238"/>
      <c r="H170" s="238"/>
    </row>
    <row r="171" spans="1:8" s="8" customFormat="1" ht="25.5">
      <c r="A171" s="576" t="s">
        <v>882</v>
      </c>
      <c r="B171" s="576" t="s">
        <v>889</v>
      </c>
      <c r="C171" s="719">
        <f>+'Distribucion Programas I'!F336</f>
        <v>6163513.5239999993</v>
      </c>
      <c r="D171" s="719">
        <f>+'Distribucion Programas II '!Q337</f>
        <v>4109009.0159999998</v>
      </c>
      <c r="E171" s="719">
        <f>+'Distribucion Programas III UTGV'!C336</f>
        <v>94201402.430000007</v>
      </c>
      <c r="F171" s="571">
        <f t="shared" si="2"/>
        <v>104473924.97</v>
      </c>
      <c r="G171" s="238"/>
      <c r="H171" s="238"/>
    </row>
    <row r="172" spans="1:8">
      <c r="G172" s="238"/>
      <c r="H172" s="238"/>
    </row>
    <row r="173" spans="1:8">
      <c r="G173" s="238"/>
      <c r="H173" s="238"/>
    </row>
    <row r="174" spans="1:8">
      <c r="G174" s="238"/>
      <c r="H174" s="238"/>
    </row>
    <row r="175" spans="1:8">
      <c r="G175" s="238"/>
      <c r="H175" s="238"/>
    </row>
    <row r="176" spans="1:8">
      <c r="G176" s="238"/>
      <c r="H176" s="238"/>
    </row>
    <row r="177" spans="7:8">
      <c r="G177" s="238"/>
      <c r="H177" s="238"/>
    </row>
    <row r="178" spans="7:8">
      <c r="G178" s="238"/>
      <c r="H178" s="238"/>
    </row>
    <row r="179" spans="7:8">
      <c r="G179" s="238"/>
      <c r="H179" s="238"/>
    </row>
    <row r="180" spans="7:8">
      <c r="G180" s="238"/>
      <c r="H180" s="238"/>
    </row>
    <row r="181" spans="7:8">
      <c r="G181" s="238"/>
      <c r="H181" s="238"/>
    </row>
    <row r="182" spans="7:8">
      <c r="G182" s="238"/>
      <c r="H182" s="238"/>
    </row>
    <row r="183" spans="7:8">
      <c r="G183" s="238"/>
      <c r="H183" s="238"/>
    </row>
    <row r="184" spans="7:8">
      <c r="G184" s="238"/>
      <c r="H184" s="238"/>
    </row>
    <row r="185" spans="7:8">
      <c r="G185" s="238"/>
      <c r="H185" s="238"/>
    </row>
    <row r="186" spans="7:8">
      <c r="G186" s="238"/>
      <c r="H186" s="238"/>
    </row>
    <row r="187" spans="7:8">
      <c r="G187" s="238"/>
      <c r="H187" s="238"/>
    </row>
    <row r="188" spans="7:8">
      <c r="G188" s="238"/>
      <c r="H188" s="238"/>
    </row>
    <row r="189" spans="7:8">
      <c r="G189" s="238"/>
      <c r="H189" s="238"/>
    </row>
    <row r="190" spans="7:8">
      <c r="G190" s="238"/>
      <c r="H190" s="238"/>
    </row>
    <row r="191" spans="7:8">
      <c r="G191" s="238"/>
      <c r="H191" s="238"/>
    </row>
    <row r="192" spans="7:8">
      <c r="G192" s="238"/>
      <c r="H192" s="238"/>
    </row>
    <row r="193" spans="7:8">
      <c r="G193" s="238"/>
      <c r="H193" s="238"/>
    </row>
    <row r="194" spans="7:8">
      <c r="G194" s="238"/>
      <c r="H194" s="238"/>
    </row>
    <row r="195" spans="7:8">
      <c r="G195" s="238"/>
      <c r="H195" s="238"/>
    </row>
    <row r="196" spans="7:8">
      <c r="G196" s="238"/>
      <c r="H196" s="238"/>
    </row>
    <row r="197" spans="7:8">
      <c r="G197" s="238"/>
      <c r="H197" s="238"/>
    </row>
    <row r="198" spans="7:8">
      <c r="G198" s="238"/>
      <c r="H198" s="238"/>
    </row>
    <row r="199" spans="7:8">
      <c r="G199" s="238"/>
      <c r="H199" s="238"/>
    </row>
    <row r="200" spans="7:8">
      <c r="G200" s="238"/>
      <c r="H200" s="581"/>
    </row>
    <row r="201" spans="7:8">
      <c r="G201" s="238"/>
      <c r="H201" s="581"/>
    </row>
    <row r="202" spans="7:8">
      <c r="G202" s="238"/>
    </row>
  </sheetData>
  <mergeCells count="3">
    <mergeCell ref="B2:F2"/>
    <mergeCell ref="B3:F3"/>
    <mergeCell ref="B4:F4"/>
  </mergeCells>
  <hyperlinks>
    <hyperlink ref="A10" location="_0.01_Remuneraciones_básicas" display="_0.01_Remuneraciones_básicas" xr:uid="{00000000-0004-0000-0C00-000000000000}"/>
    <hyperlink ref="B10" location="_0.01_Remuneraciones_básicas" display="_0.01_Remuneraciones_básicas" xr:uid="{00000000-0004-0000-0C00-000001000000}"/>
    <hyperlink ref="A11" location="_0.01.01_Sueldos_para_cargos fijos" display="_0.01.01_Sueldos_para_cargos fijos" xr:uid="{00000000-0004-0000-0C00-000002000000}"/>
    <hyperlink ref="A12" location="_0.01.02_Jornales" display="_0.01.02_Jornales" xr:uid="{00000000-0004-0000-0C00-000003000000}"/>
    <hyperlink ref="A13" location="_0.01.03___Servicios especiales" display="_0.01.03___Servicios especiales" xr:uid="{00000000-0004-0000-0C00-000004000000}"/>
    <hyperlink ref="A14" location="_0.01.04___  Sueldos a base de comis" display="_0.01.04___  Sueldos a base de comis" xr:uid="{00000000-0004-0000-0C00-000005000000}"/>
    <hyperlink ref="A15" location="_0.01.05_Suplencias" display="_0.01.05_Suplencias" xr:uid="{00000000-0004-0000-0C00-000006000000}"/>
    <hyperlink ref="A17" location="OLE_LINK3" display="OLE_LINK3" xr:uid="{00000000-0004-0000-0C00-000007000000}"/>
    <hyperlink ref="B17" location="OLE_LINK3" display="OLE_LINK3" xr:uid="{00000000-0004-0000-0C00-000008000000}"/>
    <hyperlink ref="A18" location="_0.02.01_Tiempo_extraordinario" display="_0.02.01_Tiempo_extraordinario" xr:uid="{00000000-0004-0000-0C00-000009000000}"/>
    <hyperlink ref="A19" location="_0.01.05__" display="_0.01.05__" xr:uid="{00000000-0004-0000-0C00-00000A000000}"/>
    <hyperlink ref="A21" location="OLE_LINK4" display="OLE_LINK4" xr:uid="{00000000-0004-0000-0C00-00000B000000}"/>
    <hyperlink ref="B21" location="OLE_LINK4" display="OLE_LINK4" xr:uid="{00000000-0004-0000-0C00-00000C000000}"/>
    <hyperlink ref="A22" location="_Hlt506206189" display="_Hlt506206189" xr:uid="{00000000-0004-0000-0C00-00000D000000}"/>
    <hyperlink ref="A23" location="_0.03.02_Restricción_al_ejercicio  l" display="_0.03.02_Restricción_al_ejercicio  l" xr:uid="{00000000-0004-0000-0C00-00000E000000}"/>
    <hyperlink ref="A24" location="_0.03.03___ Decimotercer mes" display="_0.03.03___ Decimotercer mes" xr:uid="{00000000-0004-0000-0C00-00000F000000}"/>
    <hyperlink ref="A25" location="_0.03.04___ Salario escolar" display="_0.03.04___ Salario escolar" xr:uid="{00000000-0004-0000-0C00-000010000000}"/>
    <hyperlink ref="A26" location="_0.03.99__" display="_0.03.99__" xr:uid="{00000000-0004-0000-0C00-000011000000}"/>
    <hyperlink ref="A29" location="OLE_LINK5" display="OLE_LINK5" xr:uid="{00000000-0004-0000-0C00-000012000000}"/>
    <hyperlink ref="A30" location="_Contribución_Patronal_al" display="_Contribución_Patronal_al" xr:uid="{00000000-0004-0000-0C00-000013000000}"/>
    <hyperlink ref="A31" location="_0.04.05___ Contribución Patronal al" display="_0.04.05___ Contribución Patronal al" xr:uid="{00000000-0004-0000-0C00-000014000000}"/>
    <hyperlink ref="A33" location="_0.04.05___ Contribución Patronal al" display="_0.04.05___ Contribución Patronal al" xr:uid="{00000000-0004-0000-0C00-000015000000}"/>
    <hyperlink ref="A35" location="_0.05.01___Contribución Patronal al " display="_0.05.01___Contribución Patronal al " xr:uid="{00000000-0004-0000-0C00-000016000000}"/>
    <hyperlink ref="A36" location="_0.05.02__" display="_0.05.02__" xr:uid="{00000000-0004-0000-0C00-000017000000}"/>
    <hyperlink ref="A37" location="_0.05.03___ Aporte Patronal al Fondo" display="_0.05.03___ Aporte Patronal al Fondo" xr:uid="{00000000-0004-0000-0C00-000018000000}"/>
    <hyperlink ref="A39" location="_1___4" display="_1___4" xr:uid="{00000000-0004-0000-0C00-000019000000}"/>
    <hyperlink ref="A40" location="_1.01__" display="_1.01__" xr:uid="{00000000-0004-0000-0C00-00001A000000}"/>
    <hyperlink ref="B40" location="_1.01__" display="_1.01__" xr:uid="{00000000-0004-0000-0C00-00001B000000}"/>
    <hyperlink ref="A41" location="_Hlt506254949" display="_Hlt506254949" xr:uid="{00000000-0004-0000-0C00-00001C000000}"/>
    <hyperlink ref="A43" location="_1.02__" display="_1.02__" xr:uid="{00000000-0004-0000-0C00-00001D000000}"/>
    <hyperlink ref="B43" location="_1.02__" display="_1.02__" xr:uid="{00000000-0004-0000-0C00-00001E000000}"/>
    <hyperlink ref="A44" location="_1.02.01___Servicio de agua y alcant" display="_1.02.01___Servicio de agua y alcant" xr:uid="{00000000-0004-0000-0C00-00001F000000}"/>
    <hyperlink ref="A45" location="_1.02.02__" display="_1.02.02__" xr:uid="{00000000-0004-0000-0C00-000020000000}"/>
    <hyperlink ref="A46" location="_1.02.04___ Servicio de telecomunica" display="_1.02.04___ Servicio de telecomunica" xr:uid="{00000000-0004-0000-0C00-000021000000}"/>
    <hyperlink ref="A47" location="_1.02.99___Otros servicios básicos" display="_1.02.99___Otros servicios básicos" xr:uid="{00000000-0004-0000-0C00-000022000000}"/>
    <hyperlink ref="A49" location="_1.03__" display="_1.03__" xr:uid="{00000000-0004-0000-0C00-000023000000}"/>
    <hyperlink ref="B49" location="_1.03__" display="_1.03__" xr:uid="{00000000-0004-0000-0C00-000024000000}"/>
    <hyperlink ref="A50" location="_Hlt506255274" display="_Hlt506255274" xr:uid="{00000000-0004-0000-0C00-000025000000}"/>
    <hyperlink ref="A51" location="_1.03.02__" display="_1.03.02__" xr:uid="{00000000-0004-0000-0C00-000026000000}"/>
    <hyperlink ref="A52" location="_1.03.03___Impresión, encuadernación" display="_1.03.03___Impresión, encuadernación" xr:uid="{00000000-0004-0000-0C00-000027000000}"/>
    <hyperlink ref="A55" location="_1.04__" display="_1.04__" xr:uid="{00000000-0004-0000-0C00-000028000000}"/>
    <hyperlink ref="B55" location="_1.04__" display="_1.04__" xr:uid="{00000000-0004-0000-0C00-000029000000}"/>
    <hyperlink ref="A56" location="_1.04.01___Servicios médicos y de la" display="_1.04.01___Servicios médicos y de la" xr:uid="{00000000-0004-0000-0C00-00002A000000}"/>
    <hyperlink ref="A57" location="_1.04.02___Servicios jurídicos" display="_1.04.02___Servicios jurídicos" xr:uid="{00000000-0004-0000-0C00-00002B000000}"/>
    <hyperlink ref="A58" location="_1.04.03___Servicios de ingeniería" display="_1.04.03___Servicios de ingeniería" xr:uid="{00000000-0004-0000-0C00-00002C000000}"/>
    <hyperlink ref="A60" location="_1.04.06___Servicios generales" display="_1.04.06___Servicios generales" xr:uid="{00000000-0004-0000-0C00-00002D000000}"/>
    <hyperlink ref="A61" location="_1.04.99___Otros servicios de gestió" display="_1.04.99___Otros servicios de gestió" xr:uid="{00000000-0004-0000-0C00-00002E000000}"/>
    <hyperlink ref="A63" location="_1.05__" display="_1.05__" xr:uid="{00000000-0004-0000-0C00-00002F000000}"/>
    <hyperlink ref="B63" location="_1.05__" display="_1.05__" xr:uid="{00000000-0004-0000-0C00-000030000000}"/>
    <hyperlink ref="A64" location="_1.05.01___Transporte dentro del paí" display="_1.05.01___Transporte dentro del paí" xr:uid="{00000000-0004-0000-0C00-000031000000}"/>
    <hyperlink ref="A65" location="_1.05.02___  Viáticos dentro del paí" display="_1.05.02___  Viáticos dentro del paí" xr:uid="{00000000-0004-0000-0C00-000032000000}"/>
    <hyperlink ref="A71" location="_1.06__" display="_1.06__" xr:uid="{00000000-0004-0000-0C00-000033000000}"/>
    <hyperlink ref="B71" location="_1.06__" display="_1.06__" xr:uid="{00000000-0004-0000-0C00-000034000000}"/>
    <hyperlink ref="A72" location="_1.06.01__Seguros" display="_1.06.01__Seguros" xr:uid="{00000000-0004-0000-0C00-000035000000}"/>
    <hyperlink ref="A74" location="_1.07__" display="_1.07__" xr:uid="{00000000-0004-0000-0C00-000036000000}"/>
    <hyperlink ref="B74" location="_1.07__" display="_1.07__" xr:uid="{00000000-0004-0000-0C00-000037000000}"/>
    <hyperlink ref="A75" location="_Hlt506361970" display="_Hlt506361970" xr:uid="{00000000-0004-0000-0C00-000038000000}"/>
    <hyperlink ref="A77" location="_1.08__" display="_1.08__" xr:uid="{00000000-0004-0000-0C00-000039000000}"/>
    <hyperlink ref="B77" location="_1.08__" display="_1.08__" xr:uid="{00000000-0004-0000-0C00-00003A000000}"/>
    <hyperlink ref="A78" location="_1.08.01___Mantenimiento de edificio" display="_1.08.01___Mantenimiento de edificio" xr:uid="{00000000-0004-0000-0C00-00003B000000}"/>
    <hyperlink ref="A79" location="_1.08.02___Mantenimiento de vías de " display="_1.08.02___Mantenimiento de vías de " xr:uid="{00000000-0004-0000-0C00-00003C000000}"/>
    <hyperlink ref="A80" location="_1.08.04___Mantenimiento y reparació" display="_1.08.04___Mantenimiento y reparació" xr:uid="{00000000-0004-0000-0C00-00003D000000}"/>
    <hyperlink ref="A81" location="_1.08.05___Mantenimiento y reparació" display="_1.08.05___Mantenimiento y reparació" xr:uid="{00000000-0004-0000-0C00-00003E000000}"/>
    <hyperlink ref="A82" location="_1.08.07___Mantenimiento y reparació" display="_1.08.07___Mantenimiento y reparació" xr:uid="{00000000-0004-0000-0C00-00003F000000}"/>
    <hyperlink ref="A83" location="_1.08.08___Mantenimiento y reparació" display="_1.08.08___Mantenimiento y reparació" xr:uid="{00000000-0004-0000-0C00-000040000000}"/>
    <hyperlink ref="A85" location="_1.09___Impuestos" display="_1.09___Impuestos" xr:uid="{00000000-0004-0000-0C00-000041000000}"/>
    <hyperlink ref="B85" location="_1.09___Impuestos" display="_1.09___Impuestos" xr:uid="{00000000-0004-0000-0C00-000042000000}"/>
    <hyperlink ref="A86" location="_1.09.99__" display="_1.09.99__" xr:uid="{00000000-0004-0000-0C00-000043000000}"/>
    <hyperlink ref="A88" location="_1.99__" display="_1.99__" xr:uid="{00000000-0004-0000-0C00-000044000000}"/>
    <hyperlink ref="B88" location="_1.99__" display="_1.99__" xr:uid="{00000000-0004-0000-0C00-000045000000}"/>
    <hyperlink ref="A89" location="_1.99.05___  Deducibles" display="_1.99.05___  Deducibles" xr:uid="{00000000-0004-0000-0C00-000046000000}"/>
    <hyperlink ref="A91" location="_2___4" display="_2___4" xr:uid="{00000000-0004-0000-0C00-000047000000}"/>
    <hyperlink ref="A92" location="_2.01_Productos_químicos" display="_2.01_Productos_químicos" xr:uid="{00000000-0004-0000-0C00-000048000000}"/>
    <hyperlink ref="B92" location="_2.01_Productos_químicos" display="_2.01_Productos_químicos" xr:uid="{00000000-0004-0000-0C00-000049000000}"/>
    <hyperlink ref="A93" location="_2.01.01___   Combustibles y lubrica_1" display="_2.01.01___   Combustibles y lubrica_1" xr:uid="{00000000-0004-0000-0C00-00004A000000}"/>
    <hyperlink ref="A94" location="_2.01.04___ Tintas, pinturas y diluy" display="_2.01.04___ Tintas, pinturas y diluy" xr:uid="{00000000-0004-0000-0C00-00004B000000}"/>
    <hyperlink ref="A97" location="_2.02___1" display="_2.02___1" xr:uid="{00000000-0004-0000-0C00-00004C000000}"/>
    <hyperlink ref="B97" location="_2.02___1" display="_2.02___1" xr:uid="{00000000-0004-0000-0C00-00004D000000}"/>
    <hyperlink ref="A98" location="_2.02.02___Productos agroforestales" display="_2.02.02___Productos agroforestales" xr:uid="{00000000-0004-0000-0C00-00004E000000}"/>
    <hyperlink ref="A99" location="_2.02.03___Alimentos y bebidas" display="_2.02.03___Alimentos y bebidas" xr:uid="{00000000-0004-0000-0C00-00004F000000}"/>
    <hyperlink ref="A102" location="_2.03__" display="_2.03__" xr:uid="{00000000-0004-0000-0C00-000050000000}"/>
    <hyperlink ref="A103" location="_2.03.01___   Materiales y productos_1" display="_2.03.01___   Materiales y productos_1" xr:uid="{00000000-0004-0000-0C00-000051000000}"/>
    <hyperlink ref="A104" location="_2.03.02___   Materiales y productos_1" display="_2.03.02___   Materiales y productos_1" xr:uid="{00000000-0004-0000-0C00-000052000000}"/>
    <hyperlink ref="A105" location="_2.03.03___    Madera y sus derivado_1" display="_2.03.03___    Madera y sus derivado_1" xr:uid="{00000000-0004-0000-0C00-000053000000}"/>
    <hyperlink ref="A106" location="_2.03.04___  Materiales y productos _1" display="_2.03.04___  Materiales y productos _1" xr:uid="{00000000-0004-0000-0C00-000054000000}"/>
    <hyperlink ref="A107" location="_2.03.05___    Materiales y producto_1" display="_2.03.05___    Materiales y producto_1" xr:uid="{00000000-0004-0000-0C00-000055000000}"/>
    <hyperlink ref="A108" location="_Hlt506356393" display="_Hlt506356393" xr:uid="{00000000-0004-0000-0C00-000056000000}"/>
    <hyperlink ref="A109" location="_2.03.99___   Otros materiales y pro_1" display="_2.03.99___   Otros materiales y pro_1" xr:uid="{00000000-0004-0000-0C00-000057000000}"/>
    <hyperlink ref="A111" location="_2.04__Herramientas," display="_2.04__Herramientas," xr:uid="{00000000-0004-0000-0C00-000058000000}"/>
    <hyperlink ref="B111" location="_2.04__Herramientas," display="_2.04__Herramientas," xr:uid="{00000000-0004-0000-0C00-000059000000}"/>
    <hyperlink ref="A112" location="_2.04.01___   Herramientas e instrum_1" display="_2.04.01___   Herramientas e instrum_1" xr:uid="{00000000-0004-0000-0C00-00005A000000}"/>
    <hyperlink ref="A113" location="_2.04.02__" display="_2.04.02__" xr:uid="{00000000-0004-0000-0C00-00005B000000}"/>
    <hyperlink ref="A115" location="_2.99___1" display="_2.99___1" xr:uid="{00000000-0004-0000-0C00-00005C000000}"/>
    <hyperlink ref="B115" location="_2.99___1" display="_2.99___1" xr:uid="{00000000-0004-0000-0C00-00005D000000}"/>
    <hyperlink ref="A116" location="_2.99.01__" display="_2.99.01__" xr:uid="{00000000-0004-0000-0C00-00005E000000}"/>
    <hyperlink ref="A117" location="_2.99.03__" display="_2.99.03__" xr:uid="{00000000-0004-0000-0C00-00005F000000}"/>
    <hyperlink ref="A118" location="_2.99.04__" display="_2.99.04__" xr:uid="{00000000-0004-0000-0C00-000060000000}"/>
    <hyperlink ref="A119" location="_2.99.05___ Útiles y materiales de l" display="_2.99.05___ Útiles y materiales de l" xr:uid="{00000000-0004-0000-0C00-000061000000}"/>
    <hyperlink ref="A120" location="_2.99.06__" display="_2.99.06__" xr:uid="{00000000-0004-0000-0C00-000062000000}"/>
    <hyperlink ref="A121" location="_2.99.99__" display="_2.99.99__" xr:uid="{00000000-0004-0000-0C00-000063000000}"/>
    <hyperlink ref="A123" location="_3___1" display="_3___1" xr:uid="{00000000-0004-0000-0C00-000064000000}"/>
    <hyperlink ref="A125" location="_3.02_Intereses_sobre" display="_3.02_Intereses_sobre" xr:uid="{00000000-0004-0000-0C00-000065000000}"/>
    <hyperlink ref="B125" location="_3.02_Intereses_sobre" display="_3.02_Intereses_sobre" xr:uid="{00000000-0004-0000-0C00-000066000000}"/>
    <hyperlink ref="A126" location="_3.02.06__" display="_3.02.06__" xr:uid="{00000000-0004-0000-0C00-000067000000}"/>
    <hyperlink ref="A128" location="_5___1" display="_5___1" xr:uid="{00000000-0004-0000-0C00-000068000000}"/>
    <hyperlink ref="A129" location="_5.01___1" display="_5.01___1" xr:uid="{00000000-0004-0000-0C00-000069000000}"/>
    <hyperlink ref="B129" location="_5.01___1" display="_5.01___1" xr:uid="{00000000-0004-0000-0C00-00006A000000}"/>
    <hyperlink ref="A130" location="_5.01.01__" display="_5.01.01__" xr:uid="{00000000-0004-0000-0C00-00006B000000}"/>
    <hyperlink ref="A131" location="_5.01.02___Equipo de transporte" display="_5.01.02___Equipo de transporte" xr:uid="{00000000-0004-0000-0C00-00006C000000}"/>
    <hyperlink ref="A132" location="_5.01.03__" display="_5.01.03__" xr:uid="{00000000-0004-0000-0C00-00006D000000}"/>
    <hyperlink ref="A133" location="_5.01.04___1" display="_5.01.04___1" xr:uid="{00000000-0004-0000-0C00-00006E000000}"/>
    <hyperlink ref="A134" location="_5.01.05__" display="_5.01.05__" xr:uid="{00000000-0004-0000-0C00-00006F000000}"/>
    <hyperlink ref="A135" location="_5.01.07___1" display="_5.01.07___1" xr:uid="{00000000-0004-0000-0C00-000070000000}"/>
    <hyperlink ref="A136" location="_5.01.99__" display="_5.01.99__" xr:uid="{00000000-0004-0000-0C00-000071000000}"/>
    <hyperlink ref="A142" location="_5.02_Construcciones,_adiciones" display="_5.02_Construcciones,_adiciones" xr:uid="{00000000-0004-0000-0C00-000072000000}"/>
    <hyperlink ref="B142" location="_5.02_Construcciones,_adiciones" display="_5.02_Construcciones,_adiciones" xr:uid="{00000000-0004-0000-0C00-000073000000}"/>
    <hyperlink ref="A144" location="_5.02.02__" display="_5.02.02__" xr:uid="{00000000-0004-0000-0C00-000074000000}"/>
    <hyperlink ref="A146" location="_5.03__" display="_5.03__" xr:uid="{00000000-0004-0000-0C00-000075000000}"/>
    <hyperlink ref="B146" location="_5.03__" display="_5.03__" xr:uid="{00000000-0004-0000-0C00-000076000000}"/>
    <hyperlink ref="A147" location="_5.03.01__" display="_5.03.01__" xr:uid="{00000000-0004-0000-0C00-000077000000}"/>
    <hyperlink ref="A153" location="_6_TRANSFERENCIAS_CORRIENTES_4" display="_6_TRANSFERENCIAS_CORRIENTES_4" xr:uid="{00000000-0004-0000-0C00-000078000000}"/>
    <hyperlink ref="A154" location="_6.01__" display="_6.01__" xr:uid="{00000000-0004-0000-0C00-000079000000}"/>
    <hyperlink ref="B154" location="_6.01__" display="_6.01__" xr:uid="{00000000-0004-0000-0C00-00007A000000}"/>
    <hyperlink ref="A155" location="_6.01.01__" display="_6.01.01__" xr:uid="{00000000-0004-0000-0C00-00007B000000}"/>
    <hyperlink ref="A156" location="_6.01.02__" display="_6.01.02__" xr:uid="{00000000-0004-0000-0C00-00007C000000}"/>
    <hyperlink ref="A157" location="_6.01.03__" display="_6.01.03__" xr:uid="{00000000-0004-0000-0C00-00007D000000}"/>
    <hyperlink ref="A158" location="_6.01.04__" display="_6.01.04__" xr:uid="{00000000-0004-0000-0C00-00007E000000}"/>
    <hyperlink ref="A160" location="_6.02___1" display="_6.02___1" xr:uid="{00000000-0004-0000-0C00-00007F000000}"/>
    <hyperlink ref="B160" location="_6.02___1" display="_6.02___1" xr:uid="{00000000-0004-0000-0C00-000080000000}"/>
    <hyperlink ref="A161" location="_6.02.99__" display="_6.02.99__" xr:uid="{00000000-0004-0000-0C00-000081000000}"/>
    <hyperlink ref="A163" location="_6.03__" display="_6.03__" xr:uid="{00000000-0004-0000-0C00-000082000000}"/>
    <hyperlink ref="B163" location="_6.03__" display="_6.03__" xr:uid="{00000000-0004-0000-0C00-000083000000}"/>
    <hyperlink ref="A164" location="_6.03.01___Prestaciones legales_1" display="_6.03.01___Prestaciones legales_1" xr:uid="{00000000-0004-0000-0C00-000084000000}"/>
    <hyperlink ref="A165" location="_6.03.03__" display="_6.03.03__" xr:uid="{00000000-0004-0000-0C00-000085000000}"/>
    <hyperlink ref="A166" location="_6.03.04__" display="_6.03.04__" xr:uid="{00000000-0004-0000-0C00-000086000000}"/>
    <hyperlink ref="A167" location="_6.03.05__Cuota" display="_6.03.05__Cuota" xr:uid="{00000000-0004-0000-0C00-000087000000}"/>
    <hyperlink ref="A169" location="_8_AMORTIZACION_2" display="_8_AMORTIZACION_2" xr:uid="{00000000-0004-0000-0C00-000088000000}"/>
    <hyperlink ref="A170" location="_8.02_Amortización_de" display="_8.02_Amortización_de" xr:uid="{00000000-0004-0000-0C00-000089000000}"/>
    <hyperlink ref="B170" location="_8.02_Amortización_de" display="_8.02_Amortización_de" xr:uid="{00000000-0004-0000-0C00-00008A000000}"/>
    <hyperlink ref="A171" location="_8.02.06__" display="_8.02.06__" xr:uid="{00000000-0004-0000-0C00-00008B000000}"/>
    <hyperlink ref="B9" location="_0__REMUNERACIONES" display="_0__REMUNERACIONES" xr:uid="{00000000-0004-0000-0C00-00008C000000}"/>
    <hyperlink ref="B11" location="_0.01.01_Sueldos_para_cargos fijos" display="_0.01.01_Sueldos_para_cargos fijos" xr:uid="{00000000-0004-0000-0C00-00008D000000}"/>
    <hyperlink ref="B12" location="_0.01.02_Jornales" display="_0.01.02_Jornales" xr:uid="{00000000-0004-0000-0C00-00008E000000}"/>
    <hyperlink ref="B13" location="_0.01.03___Servicios especiales" display="_0.01.03___Servicios especiales" xr:uid="{00000000-0004-0000-0C00-00008F000000}"/>
    <hyperlink ref="B14" location="_0.01.04___  Sueldos a base de comis" display="_0.01.04___  Sueldos a base de comis" xr:uid="{00000000-0004-0000-0C00-000090000000}"/>
    <hyperlink ref="B15" location="_0.01.05_Suplencias" display="_0.01.05_Suplencias" xr:uid="{00000000-0004-0000-0C00-000091000000}"/>
    <hyperlink ref="B18" location="_0.02.01_Tiempo_extraordinario" display="_0.02.01_Tiempo_extraordinario" xr:uid="{00000000-0004-0000-0C00-000092000000}"/>
    <hyperlink ref="B19" location="_0.01.05__" display="_0.01.05__" xr:uid="{00000000-0004-0000-0C00-000093000000}"/>
    <hyperlink ref="B22" location="_Hlt506206189" display="_Hlt506206189" xr:uid="{00000000-0004-0000-0C00-000094000000}"/>
    <hyperlink ref="B23" location="_0.03.02_Restricción_al_ejercicio  l" display="_0.03.02_Restricción_al_ejercicio  l" xr:uid="{00000000-0004-0000-0C00-000095000000}"/>
    <hyperlink ref="B24" location="_0.03.03___ Decimotercer mes" display="_0.03.03___ Decimotercer mes" xr:uid="{00000000-0004-0000-0C00-000096000000}"/>
    <hyperlink ref="B25" location="_0.03.04___ Salario escolar" display="_0.03.04___ Salario escolar" xr:uid="{00000000-0004-0000-0C00-000097000000}"/>
    <hyperlink ref="B26" location="_0.03.99__" display="_0.03.99__" xr:uid="{00000000-0004-0000-0C00-000098000000}"/>
    <hyperlink ref="B30" location="_Contribución_Patronal_al" display="_Contribución_Patronal_al" xr:uid="{00000000-0004-0000-0C00-000099000000}"/>
    <hyperlink ref="B31" location="_0.04.05___ Contribución Patronal al" display="_0.04.05___ Contribución Patronal al" xr:uid="{00000000-0004-0000-0C00-00009A000000}"/>
    <hyperlink ref="B35" location="_0.05.01___Contribución Patronal al " display="_0.05.01___Contribución Patronal al " xr:uid="{00000000-0004-0000-0C00-00009B000000}"/>
    <hyperlink ref="B36" location="_0.05.02__" display="_0.05.02__" xr:uid="{00000000-0004-0000-0C00-00009C000000}"/>
    <hyperlink ref="B37" location="_0.05.03___ Aporte Patronal al Fondo" display="_0.05.03___ Aporte Patronal al Fondo" xr:uid="{00000000-0004-0000-0C00-00009D000000}"/>
    <hyperlink ref="B39" location="_1___4" display="_1___4" xr:uid="{00000000-0004-0000-0C00-00009E000000}"/>
    <hyperlink ref="B41" location="_Hlt506254949" display="_Hlt506254949" xr:uid="{00000000-0004-0000-0C00-00009F000000}"/>
    <hyperlink ref="B44" location="_1.02.01___Servicio de agua y alcant" display="_1.02.01___Servicio de agua y alcant" xr:uid="{00000000-0004-0000-0C00-0000A0000000}"/>
    <hyperlink ref="B45" location="_1.02.02__" display="_1.02.02__" xr:uid="{00000000-0004-0000-0C00-0000A1000000}"/>
    <hyperlink ref="B46" location="_1.02.04___ Servicio de telecomunica" display="_1.02.04___ Servicio de telecomunica" xr:uid="{00000000-0004-0000-0C00-0000A2000000}"/>
    <hyperlink ref="B47" location="_1.02.99___Otros servicios básicos" display="_1.02.99___Otros servicios básicos" xr:uid="{00000000-0004-0000-0C00-0000A3000000}"/>
    <hyperlink ref="B50" location="_Hlt506255274" display="_Hlt506255274" xr:uid="{00000000-0004-0000-0C00-0000A4000000}"/>
    <hyperlink ref="B51" location="_1.03.02__" display="_1.03.02__" xr:uid="{00000000-0004-0000-0C00-0000A5000000}"/>
    <hyperlink ref="B52" location="_1.03.03___Impresión, encuadernación" display="_1.03.03___Impresión, encuadernación" xr:uid="{00000000-0004-0000-0C00-0000A6000000}"/>
    <hyperlink ref="B56" location="_1.04.01___Servicios médicos y de la" display="_1.04.01___Servicios médicos y de la" xr:uid="{00000000-0004-0000-0C00-0000A7000000}"/>
    <hyperlink ref="B57" location="_1.04.02___Servicios jurídicos" display="_1.04.02___Servicios jurídicos" xr:uid="{00000000-0004-0000-0C00-0000A8000000}"/>
    <hyperlink ref="B58" location="_1.04.03___Servicios de ingeniería" display="_1.04.03___Servicios de ingeniería" xr:uid="{00000000-0004-0000-0C00-0000A9000000}"/>
    <hyperlink ref="B60" location="_1.04.06___Servicios generales" display="_1.04.06___Servicios generales" xr:uid="{00000000-0004-0000-0C00-0000AA000000}"/>
    <hyperlink ref="B61" location="_1.04.99___Otros servicios de gestió" display="_1.04.99___Otros servicios de gestió" xr:uid="{00000000-0004-0000-0C00-0000AB000000}"/>
    <hyperlink ref="B64" location="_1.05.01___Transporte dentro del paí" display="_1.05.01___Transporte dentro del paí" xr:uid="{00000000-0004-0000-0C00-0000AC000000}"/>
    <hyperlink ref="B65" location="_1.05.02___  Viáticos dentro del paí" display="_1.05.02___  Viáticos dentro del paí" xr:uid="{00000000-0004-0000-0C00-0000AD000000}"/>
    <hyperlink ref="B72" location="_1.06.01__Seguros" display="_1.06.01__Seguros" xr:uid="{00000000-0004-0000-0C00-0000AE000000}"/>
    <hyperlink ref="B75" location="_Hlt506361970" display="_Hlt506361970" xr:uid="{00000000-0004-0000-0C00-0000AF000000}"/>
    <hyperlink ref="B78" location="_1.08.01___Mantenimiento de edificio" display="_1.08.01___Mantenimiento de edificio" xr:uid="{00000000-0004-0000-0C00-0000B0000000}"/>
    <hyperlink ref="B79" location="_1.08.02___Mantenimiento de vías de " display="_1.08.02___Mantenimiento de vías de " xr:uid="{00000000-0004-0000-0C00-0000B1000000}"/>
    <hyperlink ref="B80" location="_1.08.04___Mantenimiento y reparació" display="_1.08.04___Mantenimiento y reparació" xr:uid="{00000000-0004-0000-0C00-0000B2000000}"/>
    <hyperlink ref="B81" location="_1.08.05___Mantenimiento y reparació" display="_1.08.05___Mantenimiento y reparació" xr:uid="{00000000-0004-0000-0C00-0000B3000000}"/>
    <hyperlink ref="B82" location="_1.08.07___Mantenimiento y reparació" display="_1.08.07___Mantenimiento y reparació" xr:uid="{00000000-0004-0000-0C00-0000B4000000}"/>
    <hyperlink ref="B83" location="_1.08.08___Mantenimiento y reparació" display="_1.08.08___Mantenimiento y reparació" xr:uid="{00000000-0004-0000-0C00-0000B5000000}"/>
    <hyperlink ref="B86" location="_1.09.99__" display="_1.09.99__" xr:uid="{00000000-0004-0000-0C00-0000B6000000}"/>
    <hyperlink ref="B89" location="_1.99.05___  Deducibles" display="_1.99.05___  Deducibles" xr:uid="{00000000-0004-0000-0C00-0000B7000000}"/>
    <hyperlink ref="B91" location="_2___4" display="_2___4" xr:uid="{00000000-0004-0000-0C00-0000B8000000}"/>
    <hyperlink ref="B93" location="_2.01.01___   Combustibles y lubrica_1" display="_2.01.01___   Combustibles y lubrica_1" xr:uid="{00000000-0004-0000-0C00-0000B9000000}"/>
    <hyperlink ref="B94" location="_2.01.04___ Tintas, pinturas y diluy" display="_2.01.04___ Tintas, pinturas y diluy" xr:uid="{00000000-0004-0000-0C00-0000BA000000}"/>
    <hyperlink ref="B98" location="_2.02.02___Productos agroforestales" display="_2.02.02___Productos agroforestales" xr:uid="{00000000-0004-0000-0C00-0000BB000000}"/>
    <hyperlink ref="B99" location="_2.02.03___Alimentos y bebidas" display="_2.02.03___Alimentos y bebidas" xr:uid="{00000000-0004-0000-0C00-0000BC000000}"/>
    <hyperlink ref="B102" location="_2.03__" display="_2.03__" xr:uid="{00000000-0004-0000-0C00-0000BD000000}"/>
    <hyperlink ref="B103" location="_2.03.01___   Materiales y productos_1" display="_2.03.01___   Materiales y productos_1" xr:uid="{00000000-0004-0000-0C00-0000BE000000}"/>
    <hyperlink ref="B104" location="_2.03.02___   Materiales y productos_1" display="_2.03.02___   Materiales y productos_1" xr:uid="{00000000-0004-0000-0C00-0000BF000000}"/>
    <hyperlink ref="B105" location="_2.03.03___    Madera y sus derivado_1" display="_2.03.03___    Madera y sus derivado_1" xr:uid="{00000000-0004-0000-0C00-0000C0000000}"/>
    <hyperlink ref="B106" location="_2.03.04___  Materiales y productos _1" display="_2.03.04___  Materiales y productos _1" xr:uid="{00000000-0004-0000-0C00-0000C1000000}"/>
    <hyperlink ref="B107" location="_2.03.05___    Materiales y producto_1" display="_2.03.05___    Materiales y producto_1" xr:uid="{00000000-0004-0000-0C00-0000C2000000}"/>
    <hyperlink ref="B108" location="_Hlt506356393" display="_Hlt506356393" xr:uid="{00000000-0004-0000-0C00-0000C3000000}"/>
    <hyperlink ref="B109" location="_2.03.99___   Otros materiales y pro_1" display="_2.03.99___   Otros materiales y pro_1" xr:uid="{00000000-0004-0000-0C00-0000C4000000}"/>
    <hyperlink ref="B112" location="_2.04.01___   Herramientas e instrum_1" display="_2.04.01___   Herramientas e instrum_1" xr:uid="{00000000-0004-0000-0C00-0000C5000000}"/>
    <hyperlink ref="B113" location="_2.04.02__" display="_2.04.02__" xr:uid="{00000000-0004-0000-0C00-0000C6000000}"/>
    <hyperlink ref="B116" location="_2.99.01__" display="_2.99.01__" xr:uid="{00000000-0004-0000-0C00-0000C7000000}"/>
    <hyperlink ref="B117" location="_2.99.03__" display="_2.99.03__" xr:uid="{00000000-0004-0000-0C00-0000C8000000}"/>
    <hyperlink ref="B118" location="_2.99.04__" display="_2.99.04__" xr:uid="{00000000-0004-0000-0C00-0000C9000000}"/>
    <hyperlink ref="B119" location="_2.99.05___ Útiles y materiales de l" display="_2.99.05___ Útiles y materiales de l" xr:uid="{00000000-0004-0000-0C00-0000CA000000}"/>
    <hyperlink ref="B120" location="_2.99.06__" display="_2.99.06__" xr:uid="{00000000-0004-0000-0C00-0000CB000000}"/>
    <hyperlink ref="B121" location="_2.99.99__" display="_2.99.99__" xr:uid="{00000000-0004-0000-0C00-0000CC000000}"/>
    <hyperlink ref="B123" location="_3___1" display="_3___1" xr:uid="{00000000-0004-0000-0C00-0000CD000000}"/>
    <hyperlink ref="B126" location="_3.02.06__" display="_3.02.06__" xr:uid="{00000000-0004-0000-0C00-0000CE000000}"/>
    <hyperlink ref="B128" location="_5___1" display="_5___1" xr:uid="{00000000-0004-0000-0C00-0000CF000000}"/>
    <hyperlink ref="B130" location="_5.01.01__" display="_5.01.01__" xr:uid="{00000000-0004-0000-0C00-0000D0000000}"/>
    <hyperlink ref="B131" location="_5.01.02___Equipo de transporte" display="_5.01.02___Equipo de transporte" xr:uid="{00000000-0004-0000-0C00-0000D1000000}"/>
    <hyperlink ref="B132" location="_5.01.03__" display="_5.01.03__" xr:uid="{00000000-0004-0000-0C00-0000D2000000}"/>
    <hyperlink ref="B133" location="_5.01.04___1" display="_5.01.04___1" xr:uid="{00000000-0004-0000-0C00-0000D3000000}"/>
    <hyperlink ref="B134" location="_5.01.05__" display="_5.01.05__" xr:uid="{00000000-0004-0000-0C00-0000D4000000}"/>
    <hyperlink ref="B135" location="_5.01.07___1" display="_5.01.07___1" xr:uid="{00000000-0004-0000-0C00-0000D5000000}"/>
    <hyperlink ref="B136" location="_5.01.99__" display="_5.01.99__" xr:uid="{00000000-0004-0000-0C00-0000D6000000}"/>
    <hyperlink ref="B144" location="_5.02.02__" display="_5.02.02__" xr:uid="{00000000-0004-0000-0C00-0000D7000000}"/>
    <hyperlink ref="B147" location="_5.03.01__" display="_5.03.01__" xr:uid="{00000000-0004-0000-0C00-0000D8000000}"/>
    <hyperlink ref="B153" location="_6_TRANSFERENCIAS_CORRIENTES_4" display="_6_TRANSFERENCIAS_CORRIENTES_4" xr:uid="{00000000-0004-0000-0C00-0000D9000000}"/>
    <hyperlink ref="B161" location="_6.02.99__" display="_6.02.99__" xr:uid="{00000000-0004-0000-0C00-0000DA000000}"/>
    <hyperlink ref="B164" location="_6.03.01___Prestaciones legales_1" display="_6.03.01___Prestaciones legales_1" xr:uid="{00000000-0004-0000-0C00-0000DB000000}"/>
    <hyperlink ref="B165" location="_6.03.03__" display="_6.03.03__" xr:uid="{00000000-0004-0000-0C00-0000DC000000}"/>
    <hyperlink ref="B166" location="_6.03.04__" display="_6.03.04__" xr:uid="{00000000-0004-0000-0C00-0000DD000000}"/>
    <hyperlink ref="B167" location="_6.03.05__Cuota" display="_6.03.05__Cuota" xr:uid="{00000000-0004-0000-0C00-0000DE000000}"/>
    <hyperlink ref="B155" location="_6.01.01__" display="_6.01.01__" xr:uid="{00000000-0004-0000-0C00-0000DF000000}"/>
    <hyperlink ref="B156" location="_6.01.02__" display="_6.01.02__" xr:uid="{00000000-0004-0000-0C00-0000E0000000}"/>
    <hyperlink ref="B157" location="_6.01.03__" display="_6.01.03__" xr:uid="{00000000-0004-0000-0C00-0000E1000000}"/>
    <hyperlink ref="B158" location="_6.01.04__" display="_6.01.04__" xr:uid="{00000000-0004-0000-0C00-0000E2000000}"/>
    <hyperlink ref="B169" location="_8_AMORTIZACION_2" display="_8_AMORTIZACION_2" xr:uid="{00000000-0004-0000-0C00-0000E3000000}"/>
    <hyperlink ref="B171" location="_8.02.06__" display="_8.02.06__" xr:uid="{00000000-0004-0000-0C00-0000E4000000}"/>
    <hyperlink ref="B29" location="OLE_LINK5" display="OLE_LINK5" xr:uid="{00000000-0004-0000-0C00-0000E5000000}"/>
    <hyperlink ref="B34" location="OLE_LINK6" display="OLE_LINK6" xr:uid="{00000000-0004-0000-0C00-0000E6000000}"/>
    <hyperlink ref="A34" location="OLE_LINK6" display="OLE_LINK6" xr:uid="{00000000-0004-0000-0C00-0000E7000000}"/>
  </hyperlinks>
  <pageMargins left="0.31496062992125984" right="0.31496062992125984" top="0.35433070866141736" bottom="0.35433070866141736" header="0.31496062992125984" footer="0.31496062992125984"/>
  <pageSetup scale="65" orientation="portrait" horizontalDpi="4294967293"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L169"/>
  <sheetViews>
    <sheetView topLeftCell="A58" zoomScale="90" zoomScaleNormal="90" workbookViewId="0">
      <selection activeCell="A92" sqref="A92:XFD92"/>
    </sheetView>
  </sheetViews>
  <sheetFormatPr baseColWidth="10" defaultRowHeight="12.75"/>
  <cols>
    <col min="1" max="1" width="18.42578125" style="8" customWidth="1"/>
    <col min="2" max="2" width="50.7109375" customWidth="1"/>
    <col min="3" max="3" width="18.140625" style="244" customWidth="1"/>
    <col min="4" max="4" width="6.7109375" style="244" bestFit="1" customWidth="1"/>
    <col min="5" max="5" width="7.42578125" style="9" customWidth="1"/>
    <col min="6" max="6" width="7.5703125" style="244" customWidth="1"/>
    <col min="7" max="7" width="9.140625" style="722" customWidth="1"/>
    <col min="8" max="8" width="31.140625" customWidth="1"/>
    <col min="9" max="9" width="19.7109375" style="244" customWidth="1"/>
    <col min="10" max="10" width="21" bestFit="1" customWidth="1"/>
    <col min="11" max="11" width="14.85546875" bestFit="1" customWidth="1"/>
    <col min="12" max="12" width="17.28515625" bestFit="1" customWidth="1"/>
  </cols>
  <sheetData>
    <row r="1" spans="1:12" ht="15" customHeight="1">
      <c r="I1" s="582" t="s">
        <v>1320</v>
      </c>
    </row>
    <row r="2" spans="1:12" ht="15.75">
      <c r="A2" s="583" t="s">
        <v>199</v>
      </c>
      <c r="B2" s="10"/>
      <c r="C2" s="584"/>
      <c r="D2" s="584"/>
      <c r="E2" s="585"/>
      <c r="F2" s="584"/>
      <c r="G2" s="723"/>
      <c r="H2" s="10"/>
      <c r="I2" s="584"/>
    </row>
    <row r="3" spans="1:12">
      <c r="A3" s="586" t="s">
        <v>1350</v>
      </c>
      <c r="B3" s="584"/>
      <c r="C3" s="584"/>
      <c r="D3" s="584"/>
      <c r="E3" s="584"/>
      <c r="F3" s="584"/>
      <c r="G3" s="723"/>
      <c r="H3" s="584"/>
      <c r="I3" s="584"/>
      <c r="J3" s="587"/>
      <c r="K3" s="587"/>
    </row>
    <row r="4" spans="1:12" ht="15.75">
      <c r="A4" s="583" t="s">
        <v>1168</v>
      </c>
      <c r="B4" s="10"/>
      <c r="C4" s="584"/>
      <c r="D4" s="584"/>
      <c r="E4" s="585"/>
      <c r="F4" s="584"/>
      <c r="G4" s="723"/>
      <c r="H4" s="10"/>
      <c r="I4" s="584"/>
    </row>
    <row r="5" spans="1:12">
      <c r="A5" s="588"/>
      <c r="B5" s="10"/>
      <c r="C5" s="584"/>
      <c r="D5" s="584"/>
      <c r="E5" s="585"/>
      <c r="F5" s="584"/>
      <c r="G5" s="723"/>
      <c r="H5" s="10"/>
      <c r="I5" s="584"/>
    </row>
    <row r="6" spans="1:12" ht="13.5" thickBot="1"/>
    <row r="7" spans="1:12" s="593" customFormat="1" ht="15">
      <c r="A7" s="1028" t="s">
        <v>1169</v>
      </c>
      <c r="B7" s="589" t="s">
        <v>1021</v>
      </c>
      <c r="C7" s="590" t="s">
        <v>1022</v>
      </c>
      <c r="D7" s="590"/>
      <c r="E7" s="591"/>
      <c r="F7" s="590"/>
      <c r="G7" s="1032" t="s">
        <v>44</v>
      </c>
      <c r="H7" s="1033"/>
      <c r="I7" s="592" t="s">
        <v>1022</v>
      </c>
    </row>
    <row r="8" spans="1:12" s="599" customFormat="1" ht="51" customHeight="1">
      <c r="A8" s="1029"/>
      <c r="B8" s="594"/>
      <c r="C8" s="595"/>
      <c r="D8" s="596" t="s">
        <v>45</v>
      </c>
      <c r="E8" s="597" t="s">
        <v>46</v>
      </c>
      <c r="F8" s="596" t="s">
        <v>47</v>
      </c>
      <c r="G8" s="724"/>
      <c r="H8" s="594"/>
      <c r="I8" s="598"/>
    </row>
    <row r="9" spans="1:12" ht="15.75" customHeight="1">
      <c r="A9" s="600" t="s">
        <v>908</v>
      </c>
      <c r="B9" s="601" t="s">
        <v>1170</v>
      </c>
      <c r="C9" s="602">
        <f>+'Ingreso Contraloría'!C11</f>
        <v>368000000</v>
      </c>
      <c r="D9" s="603" t="s">
        <v>433</v>
      </c>
      <c r="E9" s="604" t="s">
        <v>361</v>
      </c>
      <c r="F9" s="603"/>
      <c r="G9" s="725"/>
      <c r="H9" s="212" t="s">
        <v>1171</v>
      </c>
      <c r="I9" s="605">
        <f>+Tranferencias!E29-Tranferencias!E15-Tranferencias!E16</f>
        <v>80583760.431041673</v>
      </c>
      <c r="J9" s="244"/>
      <c r="L9" s="238"/>
    </row>
    <row r="10" spans="1:12">
      <c r="A10" s="606"/>
      <c r="B10" s="212"/>
      <c r="C10" s="602"/>
      <c r="D10" s="603" t="s">
        <v>433</v>
      </c>
      <c r="E10" s="604" t="s">
        <v>358</v>
      </c>
      <c r="F10" s="603"/>
      <c r="G10" s="725"/>
      <c r="H10" s="212" t="s">
        <v>1172</v>
      </c>
      <c r="I10" s="605">
        <f>(+C9*10%)+'Distribucion Programas I'!H11</f>
        <v>91405996.4647035</v>
      </c>
      <c r="J10" s="244"/>
      <c r="K10" s="244"/>
    </row>
    <row r="11" spans="1:12">
      <c r="A11" s="606"/>
      <c r="B11" s="212"/>
      <c r="C11" s="602"/>
      <c r="D11" s="772" t="s">
        <v>1447</v>
      </c>
      <c r="E11" s="773" t="s">
        <v>358</v>
      </c>
      <c r="F11" s="603"/>
      <c r="G11" s="726"/>
      <c r="H11" s="759" t="s">
        <v>1448</v>
      </c>
      <c r="I11" s="605">
        <f>+'Distribucion Programas II '!C7</f>
        <v>3.6099590361118317E-3</v>
      </c>
      <c r="J11" s="244"/>
      <c r="K11" s="244"/>
    </row>
    <row r="12" spans="1:12">
      <c r="A12" s="606"/>
      <c r="B12" s="212"/>
      <c r="C12" s="602"/>
      <c r="D12" s="772" t="s">
        <v>48</v>
      </c>
      <c r="E12" s="773" t="s">
        <v>364</v>
      </c>
      <c r="F12" s="603"/>
      <c r="G12" s="726"/>
      <c r="H12" s="759" t="s">
        <v>1180</v>
      </c>
      <c r="I12" s="605">
        <f>+'Distribucion Programas II '!H7</f>
        <v>1907596.5784232374</v>
      </c>
      <c r="J12" s="244"/>
      <c r="K12" s="244"/>
    </row>
    <row r="13" spans="1:12">
      <c r="A13" s="606"/>
      <c r="B13" s="212"/>
      <c r="C13" s="602"/>
      <c r="D13" s="603" t="s">
        <v>48</v>
      </c>
      <c r="E13" s="773" t="s">
        <v>365</v>
      </c>
      <c r="F13" s="603"/>
      <c r="G13" s="726"/>
      <c r="H13" s="759" t="s">
        <v>1177</v>
      </c>
      <c r="I13" s="605">
        <f>+'Distribucion Programas II '!I7-'Ingreso Interno'!C29</f>
        <v>2000000</v>
      </c>
      <c r="J13" s="244"/>
    </row>
    <row r="14" spans="1:12">
      <c r="A14" s="606"/>
      <c r="B14" s="212"/>
      <c r="C14" s="602"/>
      <c r="D14" s="603" t="s">
        <v>48</v>
      </c>
      <c r="E14" s="607" t="s">
        <v>367</v>
      </c>
      <c r="F14" s="603"/>
      <c r="G14" s="726"/>
      <c r="H14" s="608" t="s">
        <v>1247</v>
      </c>
      <c r="I14" s="605">
        <f>+'Distribucion Programas II '!L7</f>
        <v>2434450.9521488808</v>
      </c>
      <c r="J14" s="244"/>
    </row>
    <row r="15" spans="1:12">
      <c r="A15" s="606"/>
      <c r="B15" s="212"/>
      <c r="C15" s="602"/>
      <c r="D15" s="603" t="s">
        <v>48</v>
      </c>
      <c r="E15" s="604" t="s">
        <v>685</v>
      </c>
      <c r="F15" s="603"/>
      <c r="G15" s="725"/>
      <c r="H15" s="212" t="s">
        <v>1174</v>
      </c>
      <c r="I15" s="605">
        <f>+'Distribucion Programas II '!M10-'Distribucion Programas II '!M136</f>
        <v>16515451.388598144</v>
      </c>
      <c r="J15" s="244"/>
    </row>
    <row r="16" spans="1:12">
      <c r="A16" s="606"/>
      <c r="B16" s="212"/>
      <c r="C16" s="602"/>
      <c r="D16" s="603" t="s">
        <v>48</v>
      </c>
      <c r="E16" s="604" t="s">
        <v>368</v>
      </c>
      <c r="F16" s="603"/>
      <c r="G16" s="725"/>
      <c r="H16" s="212" t="s">
        <v>1175</v>
      </c>
      <c r="I16" s="605">
        <f>+'Distribucion Programas II '!N10</f>
        <v>160854827.45994252</v>
      </c>
    </row>
    <row r="17" spans="1:12">
      <c r="A17" s="606"/>
      <c r="B17" s="212"/>
      <c r="C17" s="602"/>
      <c r="D17" s="603" t="s">
        <v>48</v>
      </c>
      <c r="E17" s="604" t="s">
        <v>369</v>
      </c>
      <c r="F17" s="603"/>
      <c r="G17" s="725"/>
      <c r="H17" s="212" t="s">
        <v>1176</v>
      </c>
      <c r="I17" s="605">
        <f>+'Distribucion Programas II '!O10</f>
        <v>11147916.721532103</v>
      </c>
    </row>
    <row r="18" spans="1:12">
      <c r="A18" s="606"/>
      <c r="B18" s="212"/>
      <c r="C18" s="602"/>
      <c r="D18" s="603" t="s">
        <v>49</v>
      </c>
      <c r="E18" s="607" t="s">
        <v>364</v>
      </c>
      <c r="F18" s="603">
        <v>3</v>
      </c>
      <c r="G18" s="725"/>
      <c r="H18" s="186" t="s">
        <v>1248</v>
      </c>
      <c r="I18" s="605">
        <f>+'Distrib Programas III Poyectos'!T53</f>
        <v>150000</v>
      </c>
    </row>
    <row r="19" spans="1:12">
      <c r="A19" s="606"/>
      <c r="B19" s="212"/>
      <c r="C19" s="602"/>
      <c r="D19" s="603" t="s">
        <v>49</v>
      </c>
      <c r="E19" s="607" t="s">
        <v>364</v>
      </c>
      <c r="F19" s="603">
        <v>4</v>
      </c>
      <c r="G19" s="725"/>
      <c r="H19" s="708" t="s">
        <v>1243</v>
      </c>
      <c r="I19" s="605">
        <f>+'Distrib Programas III Poyectos'!T54</f>
        <v>1000000</v>
      </c>
    </row>
    <row r="20" spans="1:12">
      <c r="A20" s="606"/>
      <c r="B20" s="212"/>
      <c r="C20" s="602"/>
      <c r="D20" s="609"/>
      <c r="E20" s="607"/>
      <c r="F20" s="603"/>
      <c r="G20" s="725"/>
      <c r="H20" s="186"/>
      <c r="I20" s="605"/>
    </row>
    <row r="21" spans="1:12">
      <c r="A21" s="606"/>
      <c r="B21" s="212"/>
      <c r="C21" s="602"/>
      <c r="D21" s="603"/>
      <c r="E21" s="604"/>
      <c r="F21" s="603"/>
      <c r="G21" s="725"/>
      <c r="H21" s="212"/>
      <c r="I21" s="610">
        <f>SUM(I9:I20)</f>
        <v>368000000</v>
      </c>
      <c r="J21" s="244"/>
    </row>
    <row r="22" spans="1:12">
      <c r="A22" s="606"/>
      <c r="B22" s="212"/>
      <c r="C22" s="602"/>
      <c r="D22" s="603"/>
      <c r="E22" s="604"/>
      <c r="F22" s="603"/>
      <c r="G22" s="725"/>
      <c r="H22" s="212"/>
      <c r="I22" s="605"/>
      <c r="J22" s="244"/>
    </row>
    <row r="23" spans="1:12">
      <c r="A23" s="606" t="s">
        <v>954</v>
      </c>
      <c r="B23" s="212" t="s">
        <v>955</v>
      </c>
      <c r="C23" s="602">
        <f>+'Ingreso Contraloría'!C12</f>
        <v>17000000</v>
      </c>
      <c r="D23" s="603" t="s">
        <v>433</v>
      </c>
      <c r="E23" s="604" t="s">
        <v>358</v>
      </c>
      <c r="F23" s="603"/>
      <c r="G23" s="725"/>
      <c r="H23" s="212" t="s">
        <v>1172</v>
      </c>
      <c r="I23" s="610">
        <f>+C23</f>
        <v>17000000</v>
      </c>
      <c r="K23" s="244"/>
      <c r="L23" s="244"/>
    </row>
    <row r="24" spans="1:12">
      <c r="A24" s="606"/>
      <c r="B24" s="212"/>
      <c r="C24" s="602"/>
      <c r="D24" s="603"/>
      <c r="E24" s="611"/>
      <c r="F24" s="612"/>
      <c r="G24" s="727"/>
      <c r="H24" s="212"/>
      <c r="I24" s="610"/>
    </row>
    <row r="25" spans="1:12">
      <c r="A25" s="606" t="s">
        <v>913</v>
      </c>
      <c r="B25" s="212" t="s">
        <v>923</v>
      </c>
      <c r="C25" s="602">
        <v>20000</v>
      </c>
      <c r="D25" s="603" t="s">
        <v>433</v>
      </c>
      <c r="E25" s="611" t="s">
        <v>358</v>
      </c>
      <c r="F25" s="612"/>
      <c r="G25" s="727"/>
      <c r="H25" s="212" t="s">
        <v>1172</v>
      </c>
      <c r="I25" s="610">
        <v>20000</v>
      </c>
      <c r="K25" s="244"/>
    </row>
    <row r="26" spans="1:12">
      <c r="A26" s="606"/>
      <c r="B26" s="212"/>
      <c r="C26" s="602"/>
      <c r="D26" s="603"/>
      <c r="E26" s="611"/>
      <c r="F26" s="612"/>
      <c r="G26" s="727"/>
      <c r="H26" s="212"/>
      <c r="I26" s="610"/>
    </row>
    <row r="27" spans="1:12">
      <c r="A27" s="606"/>
      <c r="B27" s="212"/>
      <c r="C27" s="602"/>
      <c r="D27" s="603"/>
      <c r="E27" s="611"/>
      <c r="F27" s="612"/>
      <c r="G27" s="727"/>
      <c r="H27" s="212"/>
      <c r="I27" s="610"/>
    </row>
    <row r="28" spans="1:12">
      <c r="A28" s="212"/>
      <c r="B28" s="212"/>
      <c r="C28" s="602"/>
      <c r="D28" s="603"/>
      <c r="E28" s="611"/>
      <c r="F28" s="612"/>
      <c r="G28" s="727"/>
      <c r="H28" s="212"/>
      <c r="I28" s="613"/>
    </row>
    <row r="29" spans="1:12">
      <c r="A29" s="212" t="s">
        <v>25</v>
      </c>
      <c r="B29" s="259" t="s">
        <v>26</v>
      </c>
      <c r="C29" s="602">
        <f>+'Ingreso Contraloría'!C21</f>
        <v>12000000</v>
      </c>
      <c r="D29" s="603" t="s">
        <v>433</v>
      </c>
      <c r="E29" s="611" t="s">
        <v>358</v>
      </c>
      <c r="F29" s="612"/>
      <c r="G29" s="727"/>
      <c r="H29" s="212" t="s">
        <v>1172</v>
      </c>
      <c r="I29" s="610">
        <f>+C29</f>
        <v>12000000</v>
      </c>
      <c r="K29" s="244"/>
    </row>
    <row r="30" spans="1:12">
      <c r="A30" s="212"/>
      <c r="B30" s="259"/>
      <c r="C30" s="602"/>
      <c r="D30" s="603"/>
      <c r="E30" s="611"/>
      <c r="F30" s="612"/>
      <c r="G30" s="727"/>
      <c r="H30" s="212"/>
      <c r="I30" s="613"/>
    </row>
    <row r="31" spans="1:12">
      <c r="A31" s="212" t="s">
        <v>935</v>
      </c>
      <c r="B31" s="212" t="s">
        <v>432</v>
      </c>
      <c r="C31" s="602">
        <f>+'Ingreso Contraloría'!C25</f>
        <v>162000</v>
      </c>
      <c r="D31" s="603" t="s">
        <v>433</v>
      </c>
      <c r="E31" s="611" t="s">
        <v>358</v>
      </c>
      <c r="F31" s="612"/>
      <c r="G31" s="727"/>
      <c r="H31" s="212" t="s">
        <v>1172</v>
      </c>
      <c r="I31" s="613">
        <v>126000</v>
      </c>
      <c r="K31" s="244"/>
    </row>
    <row r="32" spans="1:12">
      <c r="A32" s="606"/>
      <c r="B32" s="212"/>
      <c r="C32" s="602"/>
      <c r="D32" s="603" t="s">
        <v>48</v>
      </c>
      <c r="E32" s="611" t="s">
        <v>365</v>
      </c>
      <c r="F32" s="612"/>
      <c r="G32" s="727"/>
      <c r="H32" s="212" t="s">
        <v>1177</v>
      </c>
      <c r="I32" s="613">
        <v>36000</v>
      </c>
    </row>
    <row r="33" spans="1:11">
      <c r="A33" s="606"/>
      <c r="B33" s="212"/>
      <c r="C33" s="602"/>
      <c r="D33" s="603"/>
      <c r="E33" s="611"/>
      <c r="F33" s="612"/>
      <c r="G33" s="727"/>
      <c r="H33" s="212"/>
      <c r="I33" s="610">
        <f>+I31+I32</f>
        <v>162000</v>
      </c>
    </row>
    <row r="34" spans="1:11">
      <c r="A34" s="606"/>
      <c r="B34" s="212"/>
      <c r="C34" s="602"/>
      <c r="D34" s="603"/>
      <c r="E34" s="611"/>
      <c r="F34" s="612"/>
      <c r="G34" s="727"/>
      <c r="H34" s="212"/>
      <c r="I34" s="605"/>
    </row>
    <row r="35" spans="1:11">
      <c r="A35" s="246" t="s">
        <v>951</v>
      </c>
      <c r="B35" s="212" t="s">
        <v>953</v>
      </c>
      <c r="C35" s="83">
        <f>+'Ingreso Contraloría'!C27</f>
        <v>125245000</v>
      </c>
      <c r="D35" s="603" t="s">
        <v>433</v>
      </c>
      <c r="E35" s="611" t="s">
        <v>358</v>
      </c>
      <c r="F35" s="612"/>
      <c r="G35" s="727"/>
      <c r="H35" s="212" t="s">
        <v>1172</v>
      </c>
      <c r="I35" s="610">
        <f>+C35</f>
        <v>125245000</v>
      </c>
      <c r="J35" s="662"/>
      <c r="K35" s="244"/>
    </row>
    <row r="36" spans="1:11">
      <c r="A36" s="510"/>
      <c r="B36" s="493"/>
      <c r="C36" s="83"/>
      <c r="D36" s="609"/>
      <c r="E36" s="614"/>
      <c r="F36" s="612"/>
      <c r="G36" s="727"/>
      <c r="H36" s="186"/>
      <c r="I36" s="615"/>
      <c r="J36" s="662"/>
      <c r="K36" s="244"/>
    </row>
    <row r="37" spans="1:11">
      <c r="A37" s="606"/>
      <c r="B37" s="493"/>
      <c r="C37" s="602"/>
      <c r="D37" s="603"/>
      <c r="E37" s="611"/>
      <c r="F37" s="612"/>
      <c r="G37" s="727"/>
      <c r="H37" s="212"/>
      <c r="I37" s="605"/>
    </row>
    <row r="38" spans="1:11">
      <c r="A38" s="3" t="s">
        <v>959</v>
      </c>
      <c r="B38" s="493" t="s">
        <v>419</v>
      </c>
      <c r="C38" s="277">
        <f>+'Ingreso Interno'!C40</f>
        <v>2000000</v>
      </c>
      <c r="D38" s="603" t="s">
        <v>433</v>
      </c>
      <c r="E38" s="604" t="s">
        <v>361</v>
      </c>
      <c r="F38" s="603"/>
      <c r="G38" s="725"/>
      <c r="H38" s="212" t="s">
        <v>1171</v>
      </c>
      <c r="I38" s="616">
        <f>+Tranferencias!E15+Tranferencias!E16</f>
        <v>1460000</v>
      </c>
    </row>
    <row r="39" spans="1:11">
      <c r="A39" s="617"/>
      <c r="B39" s="493"/>
      <c r="C39" s="618"/>
      <c r="D39" s="619" t="s">
        <v>48</v>
      </c>
      <c r="E39" s="620" t="s">
        <v>685</v>
      </c>
      <c r="F39" s="621"/>
      <c r="G39" s="728"/>
      <c r="H39" s="493" t="s">
        <v>1178</v>
      </c>
      <c r="I39" s="616">
        <f>+C38-I38</f>
        <v>540000</v>
      </c>
    </row>
    <row r="40" spans="1:11">
      <c r="A40" s="617"/>
      <c r="B40" s="493"/>
      <c r="C40" s="618"/>
      <c r="D40" s="619"/>
      <c r="E40" s="620"/>
      <c r="F40" s="621"/>
      <c r="G40" s="728"/>
      <c r="H40" s="493"/>
      <c r="I40" s="622">
        <f>+I38+I39</f>
        <v>2000000</v>
      </c>
    </row>
    <row r="41" spans="1:11">
      <c r="A41" s="617"/>
      <c r="B41" s="493"/>
      <c r="C41" s="618"/>
      <c r="D41" s="619"/>
      <c r="E41" s="620"/>
      <c r="F41" s="621"/>
      <c r="G41" s="728"/>
      <c r="H41" s="493"/>
      <c r="I41" s="622"/>
    </row>
    <row r="42" spans="1:11">
      <c r="A42" s="617" t="s">
        <v>985</v>
      </c>
      <c r="B42" s="493" t="s">
        <v>986</v>
      </c>
      <c r="C42" s="618">
        <f>+'Ingreso Contraloría'!C36</f>
        <v>4750000</v>
      </c>
      <c r="D42" s="623" t="s">
        <v>48</v>
      </c>
      <c r="E42" s="624" t="s">
        <v>367</v>
      </c>
      <c r="F42" s="621"/>
      <c r="G42" s="728"/>
      <c r="H42" s="608" t="s">
        <v>1179</v>
      </c>
      <c r="I42" s="616">
        <f>+C42-I43</f>
        <v>4750000</v>
      </c>
    </row>
    <row r="43" spans="1:11">
      <c r="A43" s="617"/>
      <c r="B43" s="493"/>
      <c r="C43" s="618"/>
      <c r="D43" s="603"/>
      <c r="E43" s="611"/>
      <c r="F43" s="612"/>
      <c r="G43" s="727"/>
      <c r="H43" s="212"/>
      <c r="I43" s="616"/>
      <c r="K43" s="244"/>
    </row>
    <row r="44" spans="1:11">
      <c r="A44" s="617"/>
      <c r="B44" s="493"/>
      <c r="C44" s="618"/>
      <c r="D44" s="619"/>
      <c r="E44" s="620"/>
      <c r="F44" s="621"/>
      <c r="G44" s="728"/>
      <c r="H44" s="493"/>
      <c r="I44" s="622">
        <f>+I42+I43</f>
        <v>4750000</v>
      </c>
    </row>
    <row r="45" spans="1:11">
      <c r="A45" s="617"/>
      <c r="B45" s="493"/>
      <c r="C45" s="618"/>
      <c r="D45" s="619"/>
      <c r="E45" s="620"/>
      <c r="F45" s="621"/>
      <c r="G45" s="728"/>
      <c r="H45" s="493"/>
      <c r="I45" s="622"/>
    </row>
    <row r="46" spans="1:11">
      <c r="A46" s="617"/>
      <c r="B46" s="493"/>
      <c r="C46" s="618"/>
      <c r="D46" s="619"/>
      <c r="E46" s="620"/>
      <c r="F46" s="621"/>
      <c r="G46" s="728"/>
      <c r="H46" s="493"/>
      <c r="I46" s="616"/>
    </row>
    <row r="47" spans="1:11">
      <c r="A47" s="617" t="s">
        <v>976</v>
      </c>
      <c r="B47" s="493" t="s">
        <v>972</v>
      </c>
      <c r="C47" s="618">
        <f>+'Ingreso Contraloría'!C38</f>
        <v>6300000</v>
      </c>
      <c r="D47" s="623" t="s">
        <v>48</v>
      </c>
      <c r="E47" s="624" t="s">
        <v>364</v>
      </c>
      <c r="F47" s="621"/>
      <c r="G47" s="728"/>
      <c r="H47" s="608" t="s">
        <v>1180</v>
      </c>
      <c r="I47" s="616">
        <f>+C47</f>
        <v>6300000</v>
      </c>
    </row>
    <row r="48" spans="1:11">
      <c r="A48" s="617"/>
      <c r="B48" s="493"/>
      <c r="C48" s="618"/>
      <c r="D48" s="619"/>
      <c r="E48" s="620"/>
      <c r="F48" s="621"/>
      <c r="G48" s="728"/>
      <c r="H48" s="493"/>
      <c r="I48" s="622"/>
    </row>
    <row r="49" spans="1:11">
      <c r="A49" s="617"/>
      <c r="B49" s="493"/>
      <c r="C49" s="618"/>
      <c r="D49" s="619"/>
      <c r="E49" s="620"/>
      <c r="F49" s="621"/>
      <c r="G49" s="728"/>
      <c r="H49" s="493"/>
      <c r="I49" s="616"/>
    </row>
    <row r="50" spans="1:11">
      <c r="A50" s="3" t="s">
        <v>983</v>
      </c>
      <c r="B50" s="493" t="s">
        <v>984</v>
      </c>
      <c r="C50" s="618">
        <v>2000</v>
      </c>
      <c r="D50" s="623" t="s">
        <v>48</v>
      </c>
      <c r="E50" s="624" t="s">
        <v>361</v>
      </c>
      <c r="F50" s="621"/>
      <c r="G50" s="728"/>
      <c r="H50" s="759" t="s">
        <v>1266</v>
      </c>
      <c r="I50" s="622">
        <v>2000</v>
      </c>
    </row>
    <row r="51" spans="1:11">
      <c r="A51" s="617"/>
      <c r="B51" s="493"/>
      <c r="C51" s="618"/>
      <c r="D51" s="619"/>
      <c r="E51" s="620"/>
      <c r="F51" s="621"/>
      <c r="G51" s="728"/>
      <c r="H51" s="493"/>
      <c r="I51" s="616"/>
    </row>
    <row r="52" spans="1:11">
      <c r="A52" s="617"/>
      <c r="B52" s="493"/>
      <c r="C52" s="618"/>
      <c r="D52" s="619"/>
      <c r="E52" s="620"/>
      <c r="F52" s="621"/>
      <c r="G52" s="728"/>
      <c r="H52" s="493"/>
      <c r="I52" s="616"/>
    </row>
    <row r="53" spans="1:11">
      <c r="A53" s="246" t="s">
        <v>981</v>
      </c>
      <c r="B53" s="339" t="s">
        <v>978</v>
      </c>
      <c r="C53" s="327">
        <f>+'Ingreso Contraloría'!C42</f>
        <v>139262000</v>
      </c>
      <c r="D53" s="623" t="s">
        <v>48</v>
      </c>
      <c r="E53" s="624" t="s">
        <v>359</v>
      </c>
      <c r="F53" s="621"/>
      <c r="G53" s="728"/>
      <c r="H53" s="608" t="s">
        <v>1181</v>
      </c>
      <c r="I53" s="616">
        <f>+C53-I54</f>
        <v>125335800</v>
      </c>
    </row>
    <row r="54" spans="1:11">
      <c r="A54" s="617"/>
      <c r="B54" s="493"/>
      <c r="C54" s="618"/>
      <c r="D54" s="603" t="s">
        <v>433</v>
      </c>
      <c r="E54" s="611" t="s">
        <v>358</v>
      </c>
      <c r="F54" s="612"/>
      <c r="G54" s="727"/>
      <c r="H54" s="212" t="s">
        <v>1172</v>
      </c>
      <c r="I54" s="616">
        <f>+C53*10%</f>
        <v>13926200</v>
      </c>
      <c r="K54" s="244"/>
    </row>
    <row r="55" spans="1:11">
      <c r="A55" s="617"/>
      <c r="B55" s="493"/>
      <c r="C55" s="618"/>
      <c r="D55" s="619"/>
      <c r="E55" s="620"/>
      <c r="F55" s="621"/>
      <c r="G55" s="728"/>
      <c r="H55" s="493"/>
      <c r="I55" s="616"/>
      <c r="K55" s="244"/>
    </row>
    <row r="56" spans="1:11">
      <c r="A56" s="617"/>
      <c r="B56" s="493"/>
      <c r="C56" s="618"/>
      <c r="D56" s="619"/>
      <c r="E56" s="620"/>
      <c r="F56" s="621"/>
      <c r="G56" s="728"/>
      <c r="H56" s="493"/>
      <c r="I56" s="622">
        <f>+I53+I54</f>
        <v>139262000</v>
      </c>
      <c r="K56" s="244"/>
    </row>
    <row r="57" spans="1:11">
      <c r="A57" s="617"/>
      <c r="B57" s="493"/>
      <c r="C57" s="618"/>
      <c r="D57" s="619"/>
      <c r="E57" s="620"/>
      <c r="F57" s="621"/>
      <c r="G57" s="728"/>
      <c r="H57" s="493"/>
      <c r="I57" s="622"/>
      <c r="K57" s="244"/>
    </row>
    <row r="58" spans="1:11">
      <c r="A58" s="617" t="str">
        <f>+'Ingreso Interno'!A69</f>
        <v xml:space="preserve">1.3.1.2.05.09.1.0.000   </v>
      </c>
      <c r="B58" s="493" t="str">
        <f>+'Ingreso Interno'!B69</f>
        <v>Aseo de Vias y Sitios publicos</v>
      </c>
      <c r="C58" s="618">
        <f>+'Ingreso Interno'!C69</f>
        <v>17600000</v>
      </c>
      <c r="D58" s="779" t="s">
        <v>48</v>
      </c>
      <c r="E58" s="780" t="s">
        <v>358</v>
      </c>
      <c r="F58" s="621"/>
      <c r="G58" s="728"/>
      <c r="H58" s="759" t="s">
        <v>1274</v>
      </c>
      <c r="I58" s="622">
        <f>+C58*90%</f>
        <v>15840000</v>
      </c>
      <c r="K58" s="244"/>
    </row>
    <row r="59" spans="1:11">
      <c r="A59" s="617"/>
      <c r="B59" s="493"/>
      <c r="C59" s="618"/>
      <c r="D59" s="603" t="s">
        <v>433</v>
      </c>
      <c r="E59" s="611" t="s">
        <v>358</v>
      </c>
      <c r="F59" s="612"/>
      <c r="G59" s="727"/>
      <c r="H59" s="212" t="s">
        <v>1172</v>
      </c>
      <c r="I59" s="616">
        <f>+C58*10%</f>
        <v>1760000</v>
      </c>
      <c r="K59" s="244"/>
    </row>
    <row r="60" spans="1:11">
      <c r="A60" s="617"/>
      <c r="B60" s="493"/>
      <c r="C60" s="618"/>
      <c r="D60" s="619"/>
      <c r="E60" s="620"/>
      <c r="F60" s="621"/>
      <c r="G60" s="728"/>
      <c r="H60" s="493"/>
      <c r="I60" s="622"/>
      <c r="K60" s="244"/>
    </row>
    <row r="61" spans="1:11">
      <c r="A61" s="617"/>
      <c r="B61" s="493"/>
      <c r="C61" s="618"/>
      <c r="D61" s="619"/>
      <c r="E61" s="620"/>
      <c r="F61" s="621"/>
      <c r="G61" s="728"/>
      <c r="H61" s="493"/>
      <c r="I61" s="622">
        <f>+I58+I59</f>
        <v>17600000</v>
      </c>
      <c r="K61" s="244"/>
    </row>
    <row r="62" spans="1:11">
      <c r="A62" s="617"/>
      <c r="B62" s="493"/>
      <c r="C62" s="618"/>
      <c r="D62" s="619"/>
      <c r="E62" s="620"/>
      <c r="F62" s="621"/>
      <c r="G62" s="728"/>
      <c r="H62" s="493"/>
      <c r="I62" s="622"/>
      <c r="K62" s="244"/>
    </row>
    <row r="63" spans="1:11">
      <c r="A63" s="617" t="str">
        <f>+'Ingreso Interno'!A70</f>
        <v xml:space="preserve">1.3.1.2.05.09.2.0.000   </v>
      </c>
      <c r="B63" s="493" t="str">
        <f>+'Ingreso Interno'!B70</f>
        <v>Parques y Obras de Ornato</v>
      </c>
      <c r="C63" s="618">
        <f>+'Ingreso Interno'!C70</f>
        <v>47000000</v>
      </c>
      <c r="D63" s="779" t="s">
        <v>48</v>
      </c>
      <c r="E63" s="780" t="s">
        <v>358</v>
      </c>
      <c r="F63" s="621"/>
      <c r="G63" s="728"/>
      <c r="H63" s="759" t="s">
        <v>1343</v>
      </c>
      <c r="I63" s="622">
        <f>+C63*90%</f>
        <v>42300000</v>
      </c>
      <c r="K63" s="244"/>
    </row>
    <row r="64" spans="1:11">
      <c r="A64" s="617"/>
      <c r="B64" s="493"/>
      <c r="C64" s="618"/>
      <c r="D64" s="603" t="s">
        <v>433</v>
      </c>
      <c r="E64" s="611" t="s">
        <v>358</v>
      </c>
      <c r="F64" s="612"/>
      <c r="G64" s="727"/>
      <c r="H64" s="212" t="s">
        <v>1172</v>
      </c>
      <c r="I64" s="616">
        <f>+C63*10%</f>
        <v>4700000</v>
      </c>
      <c r="K64" s="244"/>
    </row>
    <row r="65" spans="1:11">
      <c r="A65" s="617"/>
      <c r="B65" s="493"/>
      <c r="C65" s="618"/>
      <c r="D65" s="619"/>
      <c r="E65" s="620"/>
      <c r="F65" s="621"/>
      <c r="G65" s="728"/>
      <c r="H65" s="493"/>
      <c r="I65" s="622"/>
      <c r="K65" s="244"/>
    </row>
    <row r="66" spans="1:11">
      <c r="A66" s="617"/>
      <c r="B66" s="493"/>
      <c r="C66" s="618"/>
      <c r="D66" s="619"/>
      <c r="E66" s="620"/>
      <c r="F66" s="621"/>
      <c r="G66" s="728"/>
      <c r="H66" s="493"/>
      <c r="I66" s="622">
        <f>+I63+I64</f>
        <v>47000000</v>
      </c>
      <c r="K66" s="244"/>
    </row>
    <row r="67" spans="1:11">
      <c r="A67" s="617"/>
      <c r="B67" s="493"/>
      <c r="C67" s="618"/>
      <c r="D67" s="619"/>
      <c r="E67" s="620"/>
      <c r="F67" s="621"/>
      <c r="G67" s="728"/>
      <c r="H67" s="493"/>
      <c r="I67" s="622"/>
      <c r="K67" s="244"/>
    </row>
    <row r="68" spans="1:11">
      <c r="A68" s="617" t="str">
        <f>+'Ingreso Contraloría'!A46</f>
        <v>1.3.1.2.09.09.0.0.000</v>
      </c>
      <c r="B68" s="493" t="str">
        <f>+'Ingreso Contraloría'!B46</f>
        <v>Venta de otros servicios</v>
      </c>
      <c r="C68" s="618">
        <f>+'Ingreso Contraloría'!C46</f>
        <v>3733000</v>
      </c>
      <c r="D68" s="623" t="s">
        <v>433</v>
      </c>
      <c r="E68" s="624" t="s">
        <v>358</v>
      </c>
      <c r="F68" s="621"/>
      <c r="G68" s="728"/>
      <c r="H68" s="212" t="s">
        <v>1172</v>
      </c>
      <c r="I68" s="622">
        <f>+C68</f>
        <v>3733000</v>
      </c>
      <c r="K68" s="244"/>
    </row>
    <row r="69" spans="1:11">
      <c r="A69" s="617"/>
      <c r="B69" s="493"/>
      <c r="C69" s="618"/>
      <c r="D69" s="619"/>
      <c r="E69" s="620"/>
      <c r="F69" s="621"/>
      <c r="G69" s="728"/>
      <c r="H69" s="493"/>
      <c r="I69" s="616"/>
      <c r="K69" s="244"/>
    </row>
    <row r="70" spans="1:11">
      <c r="A70" s="617"/>
      <c r="B70" s="493"/>
      <c r="C70" s="618"/>
      <c r="D70" s="619"/>
      <c r="E70" s="620"/>
      <c r="F70" s="621"/>
      <c r="G70" s="728"/>
      <c r="H70" s="493"/>
      <c r="I70" s="616"/>
    </row>
    <row r="71" spans="1:11">
      <c r="A71" s="617" t="s">
        <v>991</v>
      </c>
      <c r="B71" s="493" t="s">
        <v>33</v>
      </c>
      <c r="C71" s="618">
        <f>+'Distribucion Programas II '!K10</f>
        <v>3000000</v>
      </c>
      <c r="D71" s="623" t="s">
        <v>48</v>
      </c>
      <c r="E71" s="624" t="s">
        <v>366</v>
      </c>
      <c r="F71" s="621"/>
      <c r="G71" s="728"/>
      <c r="H71" s="608" t="s">
        <v>1173</v>
      </c>
      <c r="I71" s="616">
        <f>+C71</f>
        <v>3000000</v>
      </c>
    </row>
    <row r="72" spans="1:11">
      <c r="A72" s="617"/>
      <c r="B72" s="493"/>
      <c r="C72" s="618"/>
      <c r="D72" s="603"/>
      <c r="E72" s="611"/>
      <c r="F72" s="612"/>
      <c r="G72" s="727"/>
      <c r="H72" s="212"/>
      <c r="I72" s="616"/>
      <c r="K72" s="244"/>
    </row>
    <row r="73" spans="1:11">
      <c r="A73" s="617"/>
      <c r="B73" s="493"/>
      <c r="C73" s="618"/>
      <c r="D73" s="619"/>
      <c r="E73" s="620"/>
      <c r="F73" s="621"/>
      <c r="G73" s="728"/>
      <c r="H73" s="493"/>
      <c r="I73" s="622">
        <f>+I71+I72</f>
        <v>3000000</v>
      </c>
    </row>
    <row r="74" spans="1:11">
      <c r="A74" s="617"/>
      <c r="B74" s="493"/>
      <c r="C74" s="618"/>
      <c r="D74" s="619"/>
      <c r="E74" s="620"/>
      <c r="F74" s="621"/>
      <c r="G74" s="728"/>
      <c r="H74" s="493"/>
      <c r="I74" s="616"/>
    </row>
    <row r="75" spans="1:11">
      <c r="A75" s="617" t="s">
        <v>997</v>
      </c>
      <c r="B75" s="493" t="s">
        <v>1000</v>
      </c>
      <c r="C75" s="83">
        <f>+'Ingreso Contraloría'!C65</f>
        <v>400000</v>
      </c>
      <c r="D75" s="623" t="s">
        <v>48</v>
      </c>
      <c r="E75" s="624" t="s">
        <v>361</v>
      </c>
      <c r="F75" s="621"/>
      <c r="G75" s="728"/>
      <c r="H75" s="759" t="s">
        <v>1266</v>
      </c>
      <c r="I75" s="622">
        <f>+C75</f>
        <v>400000</v>
      </c>
    </row>
    <row r="76" spans="1:11">
      <c r="A76" s="617"/>
      <c r="B76" s="493"/>
      <c r="C76" s="618"/>
      <c r="D76" s="619"/>
      <c r="E76" s="620"/>
      <c r="F76" s="621"/>
      <c r="G76" s="728"/>
      <c r="H76" s="493"/>
      <c r="I76" s="616"/>
    </row>
    <row r="77" spans="1:11">
      <c r="A77" s="617" t="s">
        <v>1018</v>
      </c>
      <c r="B77" s="493" t="s">
        <v>1019</v>
      </c>
      <c r="C77" s="618">
        <f>+'Ingreso Contraloría'!C70</f>
        <v>1273000</v>
      </c>
      <c r="D77" s="603" t="s">
        <v>433</v>
      </c>
      <c r="E77" s="611" t="s">
        <v>358</v>
      </c>
      <c r="F77" s="612"/>
      <c r="G77" s="727"/>
      <c r="H77" s="212" t="s">
        <v>1172</v>
      </c>
      <c r="I77" s="622">
        <f>+C77</f>
        <v>1273000</v>
      </c>
      <c r="J77" s="244"/>
      <c r="K77" s="244"/>
    </row>
    <row r="78" spans="1:11">
      <c r="A78" s="617"/>
      <c r="B78" s="493"/>
      <c r="C78" s="618"/>
      <c r="D78" s="619"/>
      <c r="E78" s="620"/>
      <c r="F78" s="621"/>
      <c r="G78" s="728"/>
      <c r="H78" s="493"/>
      <c r="I78" s="616"/>
      <c r="K78" s="244"/>
    </row>
    <row r="79" spans="1:11">
      <c r="A79" s="617"/>
      <c r="B79" s="493"/>
      <c r="C79" s="618"/>
      <c r="D79" s="619"/>
      <c r="E79" s="620"/>
      <c r="F79" s="621"/>
      <c r="G79" s="728"/>
      <c r="H79" s="493"/>
      <c r="I79" s="622"/>
    </row>
    <row r="80" spans="1:11">
      <c r="A80" s="617" t="s">
        <v>1009</v>
      </c>
      <c r="B80" s="493" t="s">
        <v>1011</v>
      </c>
      <c r="C80" s="618">
        <f>+'Ingreso Contraloría'!C74</f>
        <v>48000000</v>
      </c>
      <c r="D80" s="603" t="s">
        <v>433</v>
      </c>
      <c r="E80" s="611" t="s">
        <v>358</v>
      </c>
      <c r="F80" s="612"/>
      <c r="G80" s="727"/>
      <c r="H80" s="212" t="s">
        <v>1172</v>
      </c>
      <c r="I80" s="625">
        <f>+C80-I81</f>
        <v>48000000</v>
      </c>
      <c r="K80" s="244"/>
    </row>
    <row r="81" spans="1:12">
      <c r="A81" s="617"/>
      <c r="B81" s="493"/>
      <c r="C81" s="618"/>
      <c r="D81" s="623"/>
      <c r="E81" s="624"/>
      <c r="F81" s="621"/>
      <c r="G81" s="728"/>
      <c r="H81" s="212"/>
      <c r="I81" s="626"/>
      <c r="K81" s="244"/>
    </row>
    <row r="82" spans="1:12">
      <c r="A82" s="617"/>
      <c r="B82" s="493"/>
      <c r="C82" s="618"/>
      <c r="D82" s="619"/>
      <c r="E82" s="620"/>
      <c r="F82" s="621"/>
      <c r="G82" s="728"/>
      <c r="H82" s="493"/>
      <c r="I82" s="622">
        <f>SUM(I80:I81)</f>
        <v>48000000</v>
      </c>
    </row>
    <row r="83" spans="1:12">
      <c r="A83" s="617"/>
      <c r="B83" s="493"/>
      <c r="C83" s="618"/>
      <c r="D83" s="619"/>
      <c r="E83" s="620"/>
      <c r="F83" s="621"/>
      <c r="G83" s="728"/>
      <c r="H83" s="493"/>
      <c r="I83" s="622"/>
    </row>
    <row r="84" spans="1:12">
      <c r="A84" s="617"/>
      <c r="B84" s="493"/>
      <c r="C84" s="618"/>
      <c r="D84" s="619"/>
      <c r="E84" s="620"/>
      <c r="F84" s="621"/>
      <c r="G84" s="728"/>
      <c r="H84" s="493"/>
      <c r="I84" s="622"/>
    </row>
    <row r="85" spans="1:12">
      <c r="A85" s="617" t="s">
        <v>29</v>
      </c>
      <c r="B85" s="493" t="s">
        <v>30</v>
      </c>
      <c r="C85" s="618">
        <f>+'Ingreso Contraloría'!C77</f>
        <v>16000000</v>
      </c>
      <c r="D85" s="623" t="s">
        <v>433</v>
      </c>
      <c r="E85" s="624" t="s">
        <v>359</v>
      </c>
      <c r="F85" s="621"/>
      <c r="G85" s="728"/>
      <c r="H85" s="212" t="s">
        <v>1172</v>
      </c>
      <c r="I85" s="622">
        <f>+C85</f>
        <v>16000000</v>
      </c>
      <c r="K85" s="244"/>
    </row>
    <row r="86" spans="1:12">
      <c r="A86" s="617"/>
      <c r="B86" s="493"/>
      <c r="C86" s="618"/>
      <c r="D86" s="623"/>
      <c r="E86" s="624"/>
      <c r="F86" s="621"/>
      <c r="G86" s="728"/>
      <c r="H86" s="608"/>
      <c r="I86" s="622"/>
      <c r="K86" s="244"/>
    </row>
    <row r="87" spans="1:12">
      <c r="A87" s="635"/>
      <c r="B87" s="3"/>
      <c r="C87" s="636"/>
      <c r="D87" s="637"/>
      <c r="E87" s="638"/>
      <c r="F87" s="639"/>
      <c r="G87" s="729"/>
      <c r="H87" s="640"/>
      <c r="I87" s="641"/>
      <c r="J87" s="244"/>
    </row>
    <row r="88" spans="1:12">
      <c r="A88" s="617" t="s">
        <v>6</v>
      </c>
      <c r="B88" s="493" t="str">
        <f>+'Ingreso Interno'!B96</f>
        <v>Transferencias corrientes de Instituciones Descentralizadas no Empresariales</v>
      </c>
      <c r="C88" s="618">
        <f>+'Ingreso Contraloría'!C82</f>
        <v>7423879.1299999999</v>
      </c>
      <c r="D88" s="623" t="s">
        <v>433</v>
      </c>
      <c r="E88" s="624" t="s">
        <v>359</v>
      </c>
      <c r="F88" s="621"/>
      <c r="G88" s="728"/>
      <c r="H88" s="212" t="s">
        <v>1172</v>
      </c>
      <c r="I88" s="616">
        <f>+C88-I89</f>
        <v>7423879.1299999999</v>
      </c>
      <c r="J88" s="238"/>
      <c r="K88" s="244"/>
      <c r="L88" s="244"/>
    </row>
    <row r="89" spans="1:12">
      <c r="A89" s="617"/>
      <c r="B89" s="493"/>
      <c r="C89" s="618"/>
      <c r="D89" s="623"/>
      <c r="E89" s="624"/>
      <c r="F89" s="621"/>
      <c r="G89" s="728"/>
      <c r="H89" s="608"/>
      <c r="I89" s="616"/>
      <c r="J89" s="2"/>
      <c r="L89" s="238"/>
    </row>
    <row r="90" spans="1:12">
      <c r="A90" s="617"/>
      <c r="B90" s="493"/>
      <c r="C90" s="618"/>
      <c r="D90" s="619"/>
      <c r="E90" s="620"/>
      <c r="F90" s="621"/>
      <c r="G90" s="728"/>
      <c r="H90" s="493"/>
      <c r="I90" s="622">
        <f>SUM(I88:I89)</f>
        <v>7423879.1299999999</v>
      </c>
    </row>
    <row r="91" spans="1:12">
      <c r="A91" s="314"/>
      <c r="B91" s="510"/>
      <c r="C91" s="627"/>
      <c r="D91" s="667"/>
      <c r="E91" s="668"/>
      <c r="F91" s="628"/>
      <c r="G91" s="730"/>
      <c r="H91" s="510"/>
      <c r="I91" s="629"/>
    </row>
    <row r="92" spans="1:12">
      <c r="A92" s="578"/>
      <c r="B92" s="508"/>
      <c r="C92" s="630"/>
      <c r="D92" s="665"/>
      <c r="E92" s="666"/>
      <c r="F92" s="631"/>
      <c r="G92" s="731"/>
      <c r="H92" s="508"/>
      <c r="I92" s="817"/>
    </row>
    <row r="93" spans="1:12">
      <c r="A93" s="578"/>
      <c r="B93" s="508"/>
      <c r="C93" s="630"/>
      <c r="D93" s="665"/>
      <c r="E93" s="666"/>
      <c r="F93" s="631"/>
      <c r="G93" s="731"/>
      <c r="H93" s="508"/>
      <c r="I93" s="817"/>
    </row>
    <row r="94" spans="1:12">
      <c r="A94" s="578"/>
      <c r="B94" s="508"/>
      <c r="C94" s="630"/>
      <c r="D94" s="665"/>
      <c r="E94" s="666"/>
      <c r="F94" s="631"/>
      <c r="G94" s="731"/>
      <c r="H94" s="508"/>
      <c r="I94" s="817"/>
    </row>
    <row r="95" spans="1:12">
      <c r="A95" s="578"/>
      <c r="B95" s="508"/>
      <c r="C95" s="630"/>
      <c r="D95" s="665"/>
      <c r="E95" s="666"/>
      <c r="F95" s="631"/>
      <c r="G95" s="731"/>
      <c r="H95" s="508"/>
      <c r="I95" s="817"/>
    </row>
    <row r="96" spans="1:12">
      <c r="A96" s="578"/>
      <c r="B96" s="508"/>
      <c r="C96" s="630"/>
      <c r="D96" s="665"/>
      <c r="E96" s="666"/>
      <c r="F96" s="631"/>
      <c r="G96" s="731"/>
      <c r="H96" s="508"/>
      <c r="I96" s="817"/>
    </row>
    <row r="97" spans="1:11">
      <c r="A97" s="578"/>
      <c r="B97" s="508"/>
      <c r="C97" s="630"/>
      <c r="D97" s="665"/>
      <c r="E97" s="666"/>
      <c r="F97" s="631"/>
      <c r="G97" s="731"/>
      <c r="H97" s="508"/>
      <c r="I97" s="671">
        <v>8</v>
      </c>
    </row>
    <row r="98" spans="1:11">
      <c r="A98" s="308"/>
      <c r="B98" s="512"/>
      <c r="C98" s="632"/>
      <c r="D98" s="669"/>
      <c r="E98" s="670"/>
      <c r="F98" s="633"/>
      <c r="G98" s="732"/>
      <c r="H98" s="512"/>
      <c r="I98" s="634"/>
    </row>
    <row r="99" spans="1:11" ht="23.25" customHeight="1">
      <c r="A99" s="248" t="s">
        <v>12</v>
      </c>
      <c r="B99" s="640" t="s">
        <v>1182</v>
      </c>
      <c r="C99" s="636">
        <f>+'Ingreso Interno'!C102</f>
        <v>2067899674.9300001</v>
      </c>
      <c r="D99" s="637"/>
      <c r="E99" s="638"/>
      <c r="F99" s="663"/>
      <c r="G99" s="729"/>
      <c r="H99" s="664"/>
      <c r="I99" s="641"/>
    </row>
    <row r="100" spans="1:11">
      <c r="A100" s="510"/>
      <c r="B100" s="608"/>
      <c r="C100" s="618"/>
      <c r="D100" s="623" t="s">
        <v>49</v>
      </c>
      <c r="E100" s="624" t="s">
        <v>359</v>
      </c>
      <c r="F100" s="642">
        <v>1</v>
      </c>
      <c r="G100" s="733"/>
      <c r="H100" s="749" t="s">
        <v>1256</v>
      </c>
      <c r="I100" s="616">
        <f>+'Distribucion Programas III UTGV'!C9</f>
        <v>883781153.43681312</v>
      </c>
      <c r="K100" s="244"/>
    </row>
    <row r="101" spans="1:11" ht="15">
      <c r="A101" s="617"/>
      <c r="B101" s="493"/>
      <c r="C101" s="618"/>
      <c r="D101" s="623" t="s">
        <v>49</v>
      </c>
      <c r="E101" s="624" t="s">
        <v>359</v>
      </c>
      <c r="F101" s="621">
        <f>+F100+1</f>
        <v>2</v>
      </c>
      <c r="G101" s="876" t="s">
        <v>1239</v>
      </c>
      <c r="H101" s="876" t="s">
        <v>1241</v>
      </c>
      <c r="I101" s="268">
        <f>+'Distrib Programas III Poyectos'!Y11</f>
        <v>84999999.999999985</v>
      </c>
      <c r="J101" s="238"/>
    </row>
    <row r="102" spans="1:11" ht="15">
      <c r="A102" s="617"/>
      <c r="B102" s="493"/>
      <c r="C102" s="618"/>
      <c r="D102" s="623" t="s">
        <v>49</v>
      </c>
      <c r="E102" s="624" t="s">
        <v>359</v>
      </c>
      <c r="F102" s="621">
        <f t="shared" ref="F102:F138" si="0">+F101+1</f>
        <v>3</v>
      </c>
      <c r="G102" s="876" t="s">
        <v>1329</v>
      </c>
      <c r="H102" s="876" t="s">
        <v>1241</v>
      </c>
      <c r="I102" s="268">
        <f>+'Distrib Programas III Poyectos'!Y12</f>
        <v>42500000</v>
      </c>
    </row>
    <row r="103" spans="1:11" ht="15">
      <c r="A103" s="617"/>
      <c r="B103" s="493"/>
      <c r="C103" s="618"/>
      <c r="D103" s="623" t="s">
        <v>49</v>
      </c>
      <c r="E103" s="624" t="s">
        <v>359</v>
      </c>
      <c r="F103" s="621">
        <f t="shared" si="0"/>
        <v>4</v>
      </c>
      <c r="G103" s="876" t="s">
        <v>1261</v>
      </c>
      <c r="H103" s="876" t="s">
        <v>1240</v>
      </c>
      <c r="I103" s="268">
        <f>+'Distrib Programas III Poyectos'!Y13</f>
        <v>30000000</v>
      </c>
    </row>
    <row r="104" spans="1:11" ht="15">
      <c r="A104" s="617"/>
      <c r="B104" s="493"/>
      <c r="C104" s="618"/>
      <c r="D104" s="623" t="s">
        <v>49</v>
      </c>
      <c r="E104" s="624" t="s">
        <v>359</v>
      </c>
      <c r="F104" s="621">
        <f t="shared" si="0"/>
        <v>5</v>
      </c>
      <c r="G104" s="876" t="s">
        <v>1238</v>
      </c>
      <c r="H104" s="876" t="s">
        <v>1363</v>
      </c>
      <c r="I104" s="268">
        <f>+'Distrib Programas III Poyectos'!Y14</f>
        <v>54000000</v>
      </c>
    </row>
    <row r="105" spans="1:11" ht="15">
      <c r="A105" s="617"/>
      <c r="B105" s="493"/>
      <c r="C105" s="618"/>
      <c r="D105" s="623" t="s">
        <v>49</v>
      </c>
      <c r="E105" s="624" t="s">
        <v>359</v>
      </c>
      <c r="F105" s="621">
        <f t="shared" si="0"/>
        <v>6</v>
      </c>
      <c r="G105" s="876" t="s">
        <v>1334</v>
      </c>
      <c r="H105" s="876" t="s">
        <v>1240</v>
      </c>
      <c r="I105" s="268">
        <f>+'Distrib Programas III Poyectos'!Y15</f>
        <v>34000000.000000007</v>
      </c>
    </row>
    <row r="106" spans="1:11" ht="15">
      <c r="A106" s="617"/>
      <c r="B106" s="493"/>
      <c r="C106" s="618"/>
      <c r="D106" s="623" t="s">
        <v>49</v>
      </c>
      <c r="E106" s="624" t="s">
        <v>359</v>
      </c>
      <c r="F106" s="621">
        <f t="shared" si="0"/>
        <v>7</v>
      </c>
      <c r="G106" s="876" t="s">
        <v>1365</v>
      </c>
      <c r="H106" s="876" t="s">
        <v>1241</v>
      </c>
      <c r="I106" s="268">
        <f>+'Distrib Programas III Poyectos'!Y16</f>
        <v>5000000</v>
      </c>
    </row>
    <row r="107" spans="1:11" ht="15">
      <c r="A107" s="617"/>
      <c r="B107" s="493"/>
      <c r="C107" s="618"/>
      <c r="D107" s="623" t="s">
        <v>49</v>
      </c>
      <c r="E107" s="624" t="s">
        <v>359</v>
      </c>
      <c r="F107" s="621">
        <f t="shared" si="0"/>
        <v>8</v>
      </c>
      <c r="G107" s="876" t="s">
        <v>1336</v>
      </c>
      <c r="H107" s="876" t="s">
        <v>1240</v>
      </c>
      <c r="I107" s="268">
        <f>+'Distrib Programas III Poyectos'!Y17</f>
        <v>20000000</v>
      </c>
    </row>
    <row r="108" spans="1:11" ht="15">
      <c r="A108" s="617"/>
      <c r="B108" s="493"/>
      <c r="C108" s="618"/>
      <c r="D108" s="623" t="s">
        <v>49</v>
      </c>
      <c r="E108" s="624" t="s">
        <v>359</v>
      </c>
      <c r="F108" s="621">
        <f t="shared" si="0"/>
        <v>9</v>
      </c>
      <c r="G108" s="876" t="s">
        <v>1367</v>
      </c>
      <c r="H108" s="876" t="s">
        <v>1240</v>
      </c>
      <c r="I108" s="268">
        <f>+'Distrib Programas III Poyectos'!Y18</f>
        <v>28900000</v>
      </c>
    </row>
    <row r="109" spans="1:11" ht="15">
      <c r="A109" s="617"/>
      <c r="B109" s="493"/>
      <c r="C109" s="618"/>
      <c r="D109" s="623" t="s">
        <v>49</v>
      </c>
      <c r="E109" s="624" t="s">
        <v>359</v>
      </c>
      <c r="F109" s="621">
        <f t="shared" si="0"/>
        <v>10</v>
      </c>
      <c r="G109" s="876" t="s">
        <v>1369</v>
      </c>
      <c r="H109" s="876" t="s">
        <v>1240</v>
      </c>
      <c r="I109" s="268">
        <f>+'Distrib Programas III Poyectos'!Y19</f>
        <v>25000000</v>
      </c>
    </row>
    <row r="110" spans="1:11" ht="15">
      <c r="A110" s="617"/>
      <c r="B110" s="493"/>
      <c r="C110" s="618"/>
      <c r="D110" s="623" t="s">
        <v>49</v>
      </c>
      <c r="E110" s="624" t="s">
        <v>359</v>
      </c>
      <c r="F110" s="621">
        <f t="shared" si="0"/>
        <v>11</v>
      </c>
      <c r="G110" s="876" t="s">
        <v>1371</v>
      </c>
      <c r="H110" s="876" t="s">
        <v>1240</v>
      </c>
      <c r="I110" s="268">
        <f>+'Distrib Programas III Poyectos'!Y20</f>
        <v>25000000</v>
      </c>
    </row>
    <row r="111" spans="1:11" ht="15">
      <c r="A111" s="617"/>
      <c r="B111" s="493"/>
      <c r="C111" s="618"/>
      <c r="D111" s="623" t="s">
        <v>49</v>
      </c>
      <c r="E111" s="624" t="s">
        <v>359</v>
      </c>
      <c r="F111" s="621">
        <f t="shared" si="0"/>
        <v>12</v>
      </c>
      <c r="G111" s="876" t="s">
        <v>1373</v>
      </c>
      <c r="H111" s="876" t="s">
        <v>1240</v>
      </c>
      <c r="I111" s="268">
        <f>+'Distrib Programas III Poyectos'!Y21</f>
        <v>28700000</v>
      </c>
    </row>
    <row r="112" spans="1:11" ht="15">
      <c r="A112" s="617"/>
      <c r="B112" s="493"/>
      <c r="C112" s="618"/>
      <c r="D112" s="623" t="s">
        <v>49</v>
      </c>
      <c r="E112" s="624" t="s">
        <v>359</v>
      </c>
      <c r="F112" s="621">
        <f t="shared" si="0"/>
        <v>13</v>
      </c>
      <c r="G112" s="876" t="s">
        <v>1375</v>
      </c>
      <c r="H112" s="876" t="s">
        <v>1240</v>
      </c>
      <c r="I112" s="268">
        <f>+'Distrib Programas III Poyectos'!Y22</f>
        <v>4500000</v>
      </c>
    </row>
    <row r="113" spans="1:9" ht="15">
      <c r="A113" s="617"/>
      <c r="B113" s="493"/>
      <c r="C113" s="618"/>
      <c r="D113" s="623" t="s">
        <v>49</v>
      </c>
      <c r="E113" s="624" t="s">
        <v>359</v>
      </c>
      <c r="F113" s="621">
        <f t="shared" si="0"/>
        <v>14</v>
      </c>
      <c r="G113" s="876" t="s">
        <v>1290</v>
      </c>
      <c r="H113" s="876" t="s">
        <v>1257</v>
      </c>
      <c r="I113" s="268">
        <f>+'Distrib Programas III Poyectos'!Y23</f>
        <v>100000000</v>
      </c>
    </row>
    <row r="114" spans="1:9" ht="15">
      <c r="A114" s="617"/>
      <c r="B114" s="493"/>
      <c r="C114" s="618"/>
      <c r="D114" s="623" t="s">
        <v>49</v>
      </c>
      <c r="E114" s="624" t="s">
        <v>359</v>
      </c>
      <c r="F114" s="621">
        <f t="shared" si="0"/>
        <v>15</v>
      </c>
      <c r="G114" s="876" t="s">
        <v>1236</v>
      </c>
      <c r="H114" s="876" t="s">
        <v>1242</v>
      </c>
      <c r="I114" s="268">
        <f>+'Distrib Programas III Poyectos'!Y24</f>
        <v>70000000</v>
      </c>
    </row>
    <row r="115" spans="1:9" ht="15">
      <c r="A115" s="617"/>
      <c r="B115" s="493"/>
      <c r="C115" s="618"/>
      <c r="D115" s="623" t="s">
        <v>49</v>
      </c>
      <c r="E115" s="624" t="s">
        <v>359</v>
      </c>
      <c r="F115" s="621">
        <f t="shared" si="0"/>
        <v>16</v>
      </c>
      <c r="G115" s="876" t="s">
        <v>1377</v>
      </c>
      <c r="H115" s="876" t="s">
        <v>1378</v>
      </c>
      <c r="I115" s="268">
        <f>+'Distrib Programas III Poyectos'!Y25</f>
        <v>12000000</v>
      </c>
    </row>
    <row r="116" spans="1:9" ht="15">
      <c r="A116" s="617"/>
      <c r="B116" s="493"/>
      <c r="C116" s="618"/>
      <c r="D116" s="623" t="s">
        <v>49</v>
      </c>
      <c r="E116" s="624" t="s">
        <v>359</v>
      </c>
      <c r="F116" s="621">
        <f t="shared" si="0"/>
        <v>17</v>
      </c>
      <c r="G116" s="876" t="s">
        <v>1380</v>
      </c>
      <c r="H116" s="876" t="s">
        <v>1381</v>
      </c>
      <c r="I116" s="268">
        <f>+'Distrib Programas III Poyectos'!Y26</f>
        <v>82000000</v>
      </c>
    </row>
    <row r="117" spans="1:9" ht="15">
      <c r="A117" s="617"/>
      <c r="B117" s="493"/>
      <c r="C117" s="618"/>
      <c r="D117" s="623" t="s">
        <v>49</v>
      </c>
      <c r="E117" s="624" t="s">
        <v>359</v>
      </c>
      <c r="F117" s="621">
        <f t="shared" si="0"/>
        <v>18</v>
      </c>
      <c r="G117" s="876" t="s">
        <v>1383</v>
      </c>
      <c r="H117" s="876" t="s">
        <v>1384</v>
      </c>
      <c r="I117" s="268">
        <f>+'Distrib Programas III Poyectos'!Y27</f>
        <v>20000000</v>
      </c>
    </row>
    <row r="118" spans="1:9" ht="15">
      <c r="A118" s="617"/>
      <c r="B118" s="493"/>
      <c r="C118" s="618"/>
      <c r="D118" s="623" t="s">
        <v>49</v>
      </c>
      <c r="E118" s="624" t="s">
        <v>359</v>
      </c>
      <c r="F118" s="621">
        <f t="shared" si="0"/>
        <v>19</v>
      </c>
      <c r="G118" s="876" t="s">
        <v>1237</v>
      </c>
      <c r="H118" s="876" t="s">
        <v>1242</v>
      </c>
      <c r="I118" s="268">
        <f>+'Distrib Programas III Poyectos'!Y28</f>
        <v>126000000</v>
      </c>
    </row>
    <row r="119" spans="1:9" ht="15">
      <c r="A119" s="617"/>
      <c r="B119" s="493"/>
      <c r="C119" s="618"/>
      <c r="D119" s="623" t="s">
        <v>49</v>
      </c>
      <c r="E119" s="624" t="s">
        <v>359</v>
      </c>
      <c r="F119" s="621">
        <f t="shared" si="0"/>
        <v>20</v>
      </c>
      <c r="G119" s="876" t="s">
        <v>1386</v>
      </c>
      <c r="H119" s="876" t="s">
        <v>1387</v>
      </c>
      <c r="I119" s="268">
        <f>+'Distrib Programas III Poyectos'!Y29</f>
        <v>9000000</v>
      </c>
    </row>
    <row r="120" spans="1:9" ht="15">
      <c r="A120" s="617"/>
      <c r="B120" s="493"/>
      <c r="C120" s="618"/>
      <c r="D120" s="623" t="s">
        <v>49</v>
      </c>
      <c r="E120" s="624" t="s">
        <v>359</v>
      </c>
      <c r="F120" s="621">
        <f t="shared" si="0"/>
        <v>21</v>
      </c>
      <c r="G120" s="876" t="s">
        <v>1389</v>
      </c>
      <c r="H120" s="876" t="s">
        <v>1390</v>
      </c>
      <c r="I120" s="268">
        <f>+'Distrib Programas III Poyectos'!Y30</f>
        <v>30000000</v>
      </c>
    </row>
    <row r="121" spans="1:9" ht="15">
      <c r="A121" s="617"/>
      <c r="B121" s="493"/>
      <c r="C121" s="618"/>
      <c r="D121" s="623" t="s">
        <v>49</v>
      </c>
      <c r="E121" s="624" t="s">
        <v>359</v>
      </c>
      <c r="F121" s="621">
        <f t="shared" si="0"/>
        <v>22</v>
      </c>
      <c r="G121" s="876" t="s">
        <v>1392</v>
      </c>
      <c r="H121" s="876" t="s">
        <v>1393</v>
      </c>
      <c r="I121" s="268">
        <f>+'Distrib Programas III Poyectos'!Y31</f>
        <v>8000000</v>
      </c>
    </row>
    <row r="122" spans="1:9" ht="15">
      <c r="A122" s="617"/>
      <c r="B122" s="493"/>
      <c r="C122" s="618"/>
      <c r="D122" s="623" t="s">
        <v>49</v>
      </c>
      <c r="E122" s="624" t="s">
        <v>359</v>
      </c>
      <c r="F122" s="621">
        <f t="shared" si="0"/>
        <v>23</v>
      </c>
      <c r="G122" s="876" t="s">
        <v>1395</v>
      </c>
      <c r="H122" s="876" t="s">
        <v>1396</v>
      </c>
      <c r="I122" s="268">
        <f>+'Distrib Programas III Poyectos'!Y32</f>
        <v>50000000</v>
      </c>
    </row>
    <row r="123" spans="1:9" ht="15">
      <c r="A123" s="617"/>
      <c r="B123" s="493"/>
      <c r="C123" s="618"/>
      <c r="D123" s="623" t="s">
        <v>49</v>
      </c>
      <c r="E123" s="624" t="s">
        <v>359</v>
      </c>
      <c r="F123" s="621">
        <f t="shared" si="0"/>
        <v>24</v>
      </c>
      <c r="G123" s="876" t="s">
        <v>1398</v>
      </c>
      <c r="H123" s="876" t="s">
        <v>1399</v>
      </c>
      <c r="I123" s="268">
        <f>+'Distrib Programas III Poyectos'!Y33</f>
        <v>25000000</v>
      </c>
    </row>
    <row r="124" spans="1:9" ht="15">
      <c r="A124" s="617"/>
      <c r="B124" s="493"/>
      <c r="C124" s="618"/>
      <c r="D124" s="623" t="s">
        <v>49</v>
      </c>
      <c r="E124" s="624" t="s">
        <v>359</v>
      </c>
      <c r="F124" s="621">
        <f t="shared" si="0"/>
        <v>25</v>
      </c>
      <c r="G124" s="876" t="s">
        <v>1331</v>
      </c>
      <c r="H124" s="876" t="s">
        <v>1332</v>
      </c>
      <c r="I124" s="268">
        <f>+'Distrib Programas III Poyectos'!Y34</f>
        <v>20000000</v>
      </c>
    </row>
    <row r="125" spans="1:9" ht="15">
      <c r="A125" s="617"/>
      <c r="B125" s="493"/>
      <c r="C125" s="618"/>
      <c r="D125" s="623" t="s">
        <v>49</v>
      </c>
      <c r="E125" s="624" t="s">
        <v>359</v>
      </c>
      <c r="F125" s="621">
        <f t="shared" si="0"/>
        <v>26</v>
      </c>
      <c r="G125" s="876" t="s">
        <v>1401</v>
      </c>
      <c r="H125" s="876" t="s">
        <v>1402</v>
      </c>
      <c r="I125" s="268">
        <f>+'Distrib Programas III Poyectos'!Y35</f>
        <v>23000000</v>
      </c>
    </row>
    <row r="126" spans="1:9" ht="15">
      <c r="A126" s="617"/>
      <c r="B126" s="493"/>
      <c r="C126" s="618"/>
      <c r="D126" s="623" t="s">
        <v>49</v>
      </c>
      <c r="E126" s="624" t="s">
        <v>359</v>
      </c>
      <c r="F126" s="621">
        <f t="shared" si="0"/>
        <v>27</v>
      </c>
      <c r="G126" s="876" t="s">
        <v>1404</v>
      </c>
      <c r="H126" s="876" t="s">
        <v>1405</v>
      </c>
      <c r="I126" s="268">
        <f>+'Distrib Programas III Poyectos'!Y36</f>
        <v>40000000</v>
      </c>
    </row>
    <row r="127" spans="1:9" ht="15">
      <c r="A127" s="617"/>
      <c r="B127" s="493"/>
      <c r="C127" s="618"/>
      <c r="D127" s="623" t="s">
        <v>49</v>
      </c>
      <c r="E127" s="624" t="s">
        <v>359</v>
      </c>
      <c r="F127" s="621">
        <f t="shared" si="0"/>
        <v>28</v>
      </c>
      <c r="G127" s="876" t="s">
        <v>1407</v>
      </c>
      <c r="H127" s="876" t="s">
        <v>1408</v>
      </c>
      <c r="I127" s="268">
        <f>+'Distrib Programas III Poyectos'!Y37</f>
        <v>26000000</v>
      </c>
    </row>
    <row r="128" spans="1:9" ht="15">
      <c r="A128" s="617"/>
      <c r="B128" s="493"/>
      <c r="C128" s="618"/>
      <c r="D128" s="623" t="s">
        <v>49</v>
      </c>
      <c r="E128" s="624" t="s">
        <v>359</v>
      </c>
      <c r="F128" s="621">
        <f t="shared" si="0"/>
        <v>29</v>
      </c>
      <c r="G128" s="876" t="s">
        <v>1410</v>
      </c>
      <c r="H128" s="876" t="s">
        <v>1411</v>
      </c>
      <c r="I128" s="268">
        <f>+'Distrib Programas III Poyectos'!Y38</f>
        <v>10000000</v>
      </c>
    </row>
    <row r="129" spans="1:11" ht="15">
      <c r="A129" s="617"/>
      <c r="B129" s="493"/>
      <c r="C129" s="618"/>
      <c r="D129" s="623" t="s">
        <v>49</v>
      </c>
      <c r="E129" s="624" t="s">
        <v>359</v>
      </c>
      <c r="F129" s="621">
        <f t="shared" si="0"/>
        <v>30</v>
      </c>
      <c r="G129" s="876" t="s">
        <v>1413</v>
      </c>
      <c r="H129" s="876" t="s">
        <v>1414</v>
      </c>
      <c r="I129" s="268">
        <f>+'Distrib Programas III Poyectos'!Y39</f>
        <v>7000000</v>
      </c>
    </row>
    <row r="130" spans="1:11" ht="15">
      <c r="A130" s="617"/>
      <c r="B130" s="493"/>
      <c r="C130" s="618"/>
      <c r="D130" s="623" t="s">
        <v>49</v>
      </c>
      <c r="E130" s="624" t="s">
        <v>359</v>
      </c>
      <c r="F130" s="621">
        <f t="shared" si="0"/>
        <v>31</v>
      </c>
      <c r="G130" s="876" t="s">
        <v>1416</v>
      </c>
      <c r="H130" s="876" t="s">
        <v>1417</v>
      </c>
      <c r="I130" s="268">
        <f>+'Distrib Programas III Poyectos'!Y40</f>
        <v>23000000</v>
      </c>
    </row>
    <row r="131" spans="1:11" ht="15">
      <c r="A131" s="617"/>
      <c r="B131" s="493"/>
      <c r="C131" s="618"/>
      <c r="D131" s="623" t="s">
        <v>49</v>
      </c>
      <c r="E131" s="624" t="s">
        <v>359</v>
      </c>
      <c r="F131" s="621">
        <f t="shared" si="0"/>
        <v>32</v>
      </c>
      <c r="G131" s="876" t="s">
        <v>1419</v>
      </c>
      <c r="H131" s="876" t="s">
        <v>1420</v>
      </c>
      <c r="I131" s="268">
        <f>+'Distrib Programas III Poyectos'!Y41</f>
        <v>20000000</v>
      </c>
    </row>
    <row r="132" spans="1:11" ht="15">
      <c r="A132" s="617"/>
      <c r="B132" s="493"/>
      <c r="C132" s="618"/>
      <c r="D132" s="623" t="s">
        <v>49</v>
      </c>
      <c r="E132" s="624" t="s">
        <v>359</v>
      </c>
      <c r="F132" s="621">
        <f t="shared" si="0"/>
        <v>33</v>
      </c>
      <c r="G132" s="876" t="s">
        <v>1422</v>
      </c>
      <c r="H132" s="876" t="s">
        <v>1423</v>
      </c>
      <c r="I132" s="268">
        <f>+'Distrib Programas III Poyectos'!Y42</f>
        <v>5000000</v>
      </c>
    </row>
    <row r="133" spans="1:11" ht="15">
      <c r="A133" s="617"/>
      <c r="B133" s="493"/>
      <c r="C133" s="618"/>
      <c r="D133" s="623" t="s">
        <v>49</v>
      </c>
      <c r="E133" s="624" t="s">
        <v>359</v>
      </c>
      <c r="F133" s="621">
        <f t="shared" si="0"/>
        <v>34</v>
      </c>
      <c r="G133" s="876" t="s">
        <v>1425</v>
      </c>
      <c r="H133" s="876" t="s">
        <v>1426</v>
      </c>
      <c r="I133" s="268">
        <f>+'Distrib Programas III Poyectos'!Y43</f>
        <v>5000000</v>
      </c>
    </row>
    <row r="134" spans="1:11" ht="15">
      <c r="A134" s="617"/>
      <c r="B134" s="493"/>
      <c r="C134" s="618"/>
      <c r="D134" s="623" t="s">
        <v>49</v>
      </c>
      <c r="E134" s="624" t="s">
        <v>359</v>
      </c>
      <c r="F134" s="621">
        <f t="shared" si="0"/>
        <v>35</v>
      </c>
      <c r="G134" s="876" t="s">
        <v>1428</v>
      </c>
      <c r="H134" s="876" t="s">
        <v>1429</v>
      </c>
      <c r="I134" s="268">
        <f>+'Distrib Programas III Poyectos'!Y44</f>
        <v>35000000</v>
      </c>
    </row>
    <row r="135" spans="1:11" ht="15">
      <c r="A135" s="617"/>
      <c r="B135" s="493"/>
      <c r="C135" s="618"/>
      <c r="D135" s="623" t="s">
        <v>49</v>
      </c>
      <c r="E135" s="624" t="s">
        <v>359</v>
      </c>
      <c r="F135" s="621">
        <f t="shared" si="0"/>
        <v>36</v>
      </c>
      <c r="G135" s="876" t="s">
        <v>1431</v>
      </c>
      <c r="H135" s="876" t="s">
        <v>1432</v>
      </c>
      <c r="I135" s="268">
        <f>+'Distrib Programas III Poyectos'!Y45</f>
        <v>40000000</v>
      </c>
    </row>
    <row r="136" spans="1:11" ht="15">
      <c r="A136" s="617"/>
      <c r="B136" s="493"/>
      <c r="C136" s="618"/>
      <c r="D136" s="623" t="s">
        <v>49</v>
      </c>
      <c r="E136" s="624" t="s">
        <v>359</v>
      </c>
      <c r="F136" s="621">
        <f t="shared" si="0"/>
        <v>37</v>
      </c>
      <c r="G136" s="876" t="s">
        <v>1434</v>
      </c>
      <c r="H136" s="876" t="s">
        <v>1259</v>
      </c>
      <c r="I136" s="268">
        <f>+'Distrib Programas III Poyectos'!Y46</f>
        <v>10000000</v>
      </c>
    </row>
    <row r="137" spans="1:11" ht="15">
      <c r="A137" s="617"/>
      <c r="B137" s="493"/>
      <c r="C137" s="618"/>
      <c r="D137" s="623" t="s">
        <v>49</v>
      </c>
      <c r="E137" s="624" t="s">
        <v>359</v>
      </c>
      <c r="F137" s="621">
        <f t="shared" si="0"/>
        <v>38</v>
      </c>
      <c r="G137" s="876" t="s">
        <v>1436</v>
      </c>
      <c r="H137" s="876" t="s">
        <v>1437</v>
      </c>
      <c r="I137" s="268">
        <f>+'Distrib Programas III Poyectos'!Y47</f>
        <v>2268521.4900000002</v>
      </c>
    </row>
    <row r="138" spans="1:11" ht="15">
      <c r="A138" s="617"/>
      <c r="B138" s="493"/>
      <c r="C138" s="618"/>
      <c r="D138" s="623" t="s">
        <v>49</v>
      </c>
      <c r="E138" s="624" t="s">
        <v>359</v>
      </c>
      <c r="F138" s="621">
        <f t="shared" si="0"/>
        <v>39</v>
      </c>
      <c r="G138" s="876" t="s">
        <v>1439</v>
      </c>
      <c r="H138" s="876" t="s">
        <v>1440</v>
      </c>
      <c r="I138" s="268">
        <f>+'Distrib Programas III Poyectos'!Y48</f>
        <v>3250000</v>
      </c>
    </row>
    <row r="139" spans="1:11" ht="13.5" thickBot="1">
      <c r="A139" s="617"/>
      <c r="B139" s="493"/>
      <c r="C139" s="618"/>
      <c r="D139" s="623"/>
      <c r="E139" s="624"/>
      <c r="F139" s="621"/>
      <c r="G139" s="755"/>
      <c r="H139" s="755"/>
      <c r="I139" s="268"/>
    </row>
    <row r="140" spans="1:11">
      <c r="A140" s="617"/>
      <c r="B140" s="493"/>
      <c r="C140" s="618"/>
      <c r="D140" s="623"/>
      <c r="E140" s="624"/>
      <c r="F140" s="621"/>
      <c r="G140" s="733"/>
      <c r="H140" s="388"/>
      <c r="I140" s="386">
        <f>SUM(I100:I138)</f>
        <v>2067899674.9268131</v>
      </c>
      <c r="J140" s="721"/>
    </row>
    <row r="141" spans="1:11">
      <c r="A141" s="617"/>
      <c r="B141" s="493"/>
      <c r="C141" s="618"/>
      <c r="D141" s="623"/>
      <c r="E141" s="624"/>
      <c r="F141" s="621"/>
      <c r="G141" s="733"/>
      <c r="H141" s="388"/>
      <c r="I141" s="317"/>
      <c r="J141" s="752"/>
    </row>
    <row r="142" spans="1:11">
      <c r="A142" s="617"/>
      <c r="B142" s="493"/>
      <c r="C142" s="618"/>
      <c r="D142" s="623"/>
      <c r="E142" s="624"/>
      <c r="F142" s="621"/>
      <c r="G142" s="733"/>
      <c r="H142" s="388"/>
      <c r="I142" s="317"/>
      <c r="J142" s="752"/>
    </row>
    <row r="143" spans="1:11">
      <c r="A143" s="617" t="str">
        <f>+'Ingreso Interno'!A103</f>
        <v>2.4.1.1.02.00.00.0.00</v>
      </c>
      <c r="B143" s="493" t="str">
        <f>+'Ingreso Interno'!B103</f>
        <v>Ley 9154 puesto Fronterizo</v>
      </c>
      <c r="C143" s="618">
        <f>+'Ingreso Interno'!C103</f>
        <v>26300000</v>
      </c>
      <c r="D143" s="623" t="s">
        <v>433</v>
      </c>
      <c r="E143" s="624" t="s">
        <v>358</v>
      </c>
      <c r="F143" s="621"/>
      <c r="G143" s="733"/>
      <c r="H143" s="388" t="s">
        <v>1249</v>
      </c>
      <c r="I143" s="317">
        <f>+C143-I144</f>
        <v>795633.0603283532</v>
      </c>
      <c r="J143" s="752"/>
      <c r="K143" s="244"/>
    </row>
    <row r="144" spans="1:11">
      <c r="A144" s="617"/>
      <c r="B144" s="493"/>
      <c r="C144" s="618"/>
      <c r="D144" s="623" t="s">
        <v>433</v>
      </c>
      <c r="E144" s="624" t="s">
        <v>359</v>
      </c>
      <c r="F144" s="621"/>
      <c r="G144" s="733"/>
      <c r="H144" s="388" t="s">
        <v>1250</v>
      </c>
      <c r="I144" s="317">
        <f>+'Distribucion Programas I'!D8</f>
        <v>25504366.939671647</v>
      </c>
      <c r="J144" s="752"/>
      <c r="K144" s="244"/>
    </row>
    <row r="145" spans="1:10">
      <c r="A145" s="617"/>
      <c r="B145" s="493"/>
      <c r="C145" s="618"/>
      <c r="D145" s="623"/>
      <c r="E145" s="624"/>
      <c r="F145" s="621"/>
      <c r="G145" s="733"/>
      <c r="H145" s="388"/>
      <c r="I145" s="317"/>
      <c r="J145" s="752"/>
    </row>
    <row r="146" spans="1:10">
      <c r="A146" s="617"/>
      <c r="B146" s="493"/>
      <c r="C146" s="618"/>
      <c r="D146" s="623"/>
      <c r="E146" s="624"/>
      <c r="F146" s="621"/>
      <c r="G146" s="733"/>
      <c r="H146" s="388"/>
      <c r="I146" s="386">
        <f>SUM(I143:I145)</f>
        <v>26300000</v>
      </c>
      <c r="J146" s="752"/>
    </row>
    <row r="147" spans="1:10">
      <c r="A147" s="617"/>
      <c r="B147" s="493"/>
      <c r="C147" s="618"/>
      <c r="D147" s="623"/>
      <c r="E147" s="624"/>
      <c r="F147" s="621"/>
      <c r="G147" s="733"/>
      <c r="H147" s="388"/>
      <c r="I147" s="317"/>
    </row>
    <row r="148" spans="1:10">
      <c r="A148" s="617"/>
      <c r="B148" s="493"/>
      <c r="C148" s="618"/>
      <c r="D148" s="619"/>
      <c r="E148" s="620"/>
      <c r="F148" s="621"/>
      <c r="G148" s="728"/>
      <c r="H148" s="493"/>
      <c r="I148" s="616"/>
      <c r="J148" s="244"/>
    </row>
    <row r="149" spans="1:10">
      <c r="A149" s="249" t="s">
        <v>15</v>
      </c>
      <c r="B149" s="608" t="s">
        <v>1183</v>
      </c>
      <c r="C149" s="618">
        <f>+'Ingreso Interno'!C105</f>
        <v>1030510.07</v>
      </c>
      <c r="D149" s="623" t="s">
        <v>48</v>
      </c>
      <c r="E149" s="624" t="s">
        <v>360</v>
      </c>
      <c r="F149" s="621"/>
      <c r="G149" s="728"/>
      <c r="H149" s="608" t="s">
        <v>1184</v>
      </c>
      <c r="I149" s="622">
        <f>+C149</f>
        <v>1030510.07</v>
      </c>
    </row>
    <row r="150" spans="1:10">
      <c r="A150" s="617"/>
      <c r="B150" s="493"/>
      <c r="C150" s="618"/>
      <c r="D150" s="619"/>
      <c r="E150" s="620"/>
      <c r="F150" s="621"/>
      <c r="G150" s="728"/>
      <c r="H150" s="493"/>
      <c r="I150" s="616"/>
    </row>
    <row r="151" spans="1:10">
      <c r="A151" s="617"/>
      <c r="B151" s="493"/>
      <c r="C151" s="618"/>
      <c r="D151" s="619"/>
      <c r="E151" s="620"/>
      <c r="F151" s="621"/>
      <c r="G151" s="728"/>
      <c r="H151" s="493"/>
      <c r="I151" s="616"/>
    </row>
    <row r="152" spans="1:10">
      <c r="A152" s="775" t="s">
        <v>1271</v>
      </c>
      <c r="B152" s="759" t="s">
        <v>1445</v>
      </c>
      <c r="C152" s="618">
        <f>+'Ingreso Interno'!C71</f>
        <v>39300000</v>
      </c>
      <c r="D152" s="779" t="s">
        <v>48</v>
      </c>
      <c r="E152" s="780" t="s">
        <v>1315</v>
      </c>
      <c r="F152" s="621"/>
      <c r="G152" s="728"/>
      <c r="H152" s="759" t="s">
        <v>1316</v>
      </c>
      <c r="I152" s="622">
        <f>+C152</f>
        <v>39300000</v>
      </c>
    </row>
    <row r="153" spans="1:10">
      <c r="A153" s="617"/>
      <c r="B153" s="493"/>
      <c r="C153" s="618"/>
      <c r="D153" s="619"/>
      <c r="E153" s="620"/>
      <c r="F153" s="621"/>
      <c r="G153" s="728"/>
      <c r="H153" s="493"/>
      <c r="I153" s="616"/>
    </row>
    <row r="154" spans="1:10">
      <c r="A154" s="617"/>
      <c r="B154" s="493"/>
      <c r="C154" s="618"/>
      <c r="D154" s="619"/>
      <c r="E154" s="620"/>
      <c r="F154" s="621"/>
      <c r="G154" s="728"/>
      <c r="H154" s="493"/>
      <c r="I154" s="616"/>
    </row>
    <row r="155" spans="1:10">
      <c r="A155" s="775" t="s">
        <v>1444</v>
      </c>
      <c r="B155" s="759" t="s">
        <v>1446</v>
      </c>
      <c r="C155" s="618">
        <f>+'Ingreso Interno'!C72</f>
        <v>39300000</v>
      </c>
      <c r="D155" s="779" t="s">
        <v>48</v>
      </c>
      <c r="E155" s="780" t="s">
        <v>1315</v>
      </c>
      <c r="F155" s="621"/>
      <c r="G155" s="728"/>
      <c r="H155" s="759" t="s">
        <v>1316</v>
      </c>
      <c r="I155" s="616">
        <f>+C155</f>
        <v>39300000</v>
      </c>
    </row>
    <row r="156" spans="1:10">
      <c r="A156" s="617"/>
      <c r="B156" s="493"/>
      <c r="C156" s="618"/>
      <c r="D156" s="619"/>
      <c r="E156" s="620"/>
      <c r="F156" s="621"/>
      <c r="G156" s="728"/>
      <c r="H156" s="493"/>
      <c r="I156" s="616"/>
    </row>
    <row r="157" spans="1:10">
      <c r="A157" s="617"/>
      <c r="B157" s="493"/>
      <c r="C157" s="618"/>
      <c r="D157" s="619"/>
      <c r="E157" s="620"/>
      <c r="F157" s="621"/>
      <c r="G157" s="728"/>
      <c r="H157" s="493"/>
      <c r="I157" s="616"/>
    </row>
    <row r="158" spans="1:10">
      <c r="A158" s="617"/>
      <c r="B158" s="493"/>
      <c r="C158" s="618"/>
      <c r="D158" s="623"/>
      <c r="E158" s="624"/>
      <c r="F158" s="621"/>
      <c r="G158" s="728"/>
      <c r="H158" s="608"/>
      <c r="I158" s="616"/>
    </row>
    <row r="159" spans="1:10">
      <c r="A159" s="775" t="s">
        <v>1268</v>
      </c>
      <c r="B159" s="759" t="s">
        <v>1342</v>
      </c>
      <c r="C159" s="618">
        <f>+'Ingreso Interno'!C95</f>
        <v>8085227.21</v>
      </c>
      <c r="D159" s="779" t="s">
        <v>49</v>
      </c>
      <c r="E159" s="780" t="s">
        <v>364</v>
      </c>
      <c r="F159" s="621">
        <v>4</v>
      </c>
      <c r="G159" s="728"/>
      <c r="H159" s="759" t="s">
        <v>1314</v>
      </c>
      <c r="I159" s="622">
        <f>+C159</f>
        <v>8085227.21</v>
      </c>
    </row>
    <row r="160" spans="1:10">
      <c r="A160" s="617"/>
      <c r="B160" s="493"/>
      <c r="C160" s="618"/>
      <c r="D160" s="619"/>
      <c r="E160" s="620"/>
      <c r="F160" s="621"/>
      <c r="G160" s="728"/>
      <c r="H160" s="493"/>
      <c r="I160" s="616"/>
    </row>
    <row r="161" spans="1:11">
      <c r="A161" s="617"/>
      <c r="B161" s="493"/>
      <c r="C161" s="618"/>
      <c r="D161" s="619"/>
      <c r="E161" s="643"/>
      <c r="F161" s="619"/>
      <c r="G161" s="726"/>
      <c r="H161" s="493"/>
      <c r="I161" s="622"/>
    </row>
    <row r="162" spans="1:11">
      <c r="A162" s="617"/>
      <c r="B162" s="493"/>
      <c r="C162" s="618"/>
      <c r="D162" s="619"/>
      <c r="E162" s="643"/>
      <c r="F162" s="619"/>
      <c r="G162" s="726"/>
      <c r="H162" s="644"/>
      <c r="I162" s="616"/>
      <c r="K162" s="776"/>
    </row>
    <row r="163" spans="1:11" ht="13.5" thickBot="1">
      <c r="A163" s="645"/>
      <c r="B163" s="646"/>
      <c r="C163" s="647">
        <f>SUM(C9:C161)</f>
        <v>3001086291.3400002</v>
      </c>
      <c r="D163" s="648"/>
      <c r="E163" s="649"/>
      <c r="F163" s="648"/>
      <c r="G163" s="734"/>
      <c r="H163" s="650"/>
      <c r="I163" s="651">
        <f>+I21+I23+I25+I29+I33+I35+I40+I44+I47+I50+I56+I61+I66+I68+I73+I75+I77+I82+I85+I90+I140+I146+I149+I152+I155+I159</f>
        <v>3001086291.3368134</v>
      </c>
      <c r="J163" s="244">
        <f>+C163-I163</f>
        <v>3.1867027282714844E-3</v>
      </c>
      <c r="K163" s="776"/>
    </row>
    <row r="164" spans="1:11" ht="23.25" customHeight="1">
      <c r="A164" s="1030"/>
      <c r="B164" s="1030"/>
      <c r="C164" s="1030"/>
      <c r="D164" s="1030"/>
      <c r="E164" s="1030"/>
      <c r="F164" s="1030"/>
      <c r="G164" s="1030"/>
      <c r="H164" s="1030"/>
      <c r="I164" s="1030"/>
      <c r="K164" s="776"/>
    </row>
    <row r="165" spans="1:11" ht="15.75">
      <c r="A165" s="1031" t="s">
        <v>1480</v>
      </c>
      <c r="B165" s="1031"/>
      <c r="C165" s="1031"/>
      <c r="D165" s="1031"/>
      <c r="E165" s="1031"/>
      <c r="F165" s="1031"/>
      <c r="G165" s="1031"/>
      <c r="H165" s="1031"/>
      <c r="I165" s="1031"/>
      <c r="J165" s="244"/>
      <c r="K165" s="776"/>
    </row>
    <row r="166" spans="1:11" ht="19.5" customHeight="1">
      <c r="A166" s="1031" t="s">
        <v>1481</v>
      </c>
      <c r="B166" s="1031"/>
      <c r="C166" s="1031"/>
      <c r="D166" s="1031"/>
      <c r="E166" s="1031"/>
      <c r="F166" s="1031"/>
      <c r="G166" s="1031"/>
      <c r="H166" s="1031"/>
      <c r="I166" s="1031"/>
      <c r="K166" s="777"/>
    </row>
    <row r="167" spans="1:11" ht="11.25" customHeight="1">
      <c r="A167" s="652"/>
      <c r="B167" s="653"/>
      <c r="C167" s="653"/>
      <c r="D167" s="653"/>
      <c r="E167" s="654"/>
      <c r="F167" s="653"/>
      <c r="G167" s="735"/>
      <c r="H167" s="653"/>
      <c r="I167" s="653"/>
      <c r="K167" s="538"/>
    </row>
    <row r="168" spans="1:11" s="566" customFormat="1" ht="21.75" customHeight="1">
      <c r="A168" s="655"/>
      <c r="B168" s="656"/>
      <c r="C168" s="657"/>
      <c r="D168" s="657"/>
      <c r="E168" s="658"/>
      <c r="F168" s="657"/>
      <c r="G168" s="736"/>
      <c r="H168" s="656"/>
      <c r="I168" s="657"/>
    </row>
    <row r="169" spans="1:11">
      <c r="A169" s="659"/>
      <c r="B169" s="660"/>
      <c r="C169" s="660"/>
      <c r="D169" s="660"/>
      <c r="E169" s="661"/>
      <c r="F169" s="660"/>
      <c r="G169" s="537"/>
      <c r="H169" s="660"/>
      <c r="I169" s="660"/>
    </row>
  </sheetData>
  <mergeCells count="5">
    <mergeCell ref="A7:A8"/>
    <mergeCell ref="A164:I164"/>
    <mergeCell ref="A165:I165"/>
    <mergeCell ref="A166:I166"/>
    <mergeCell ref="G7:H7"/>
  </mergeCells>
  <hyperlinks>
    <hyperlink ref="A31" location="_1.1.3.2.02.03.0.0.000__" display="_1.1.3.2.02.03.0.0.000__" xr:uid="{00000000-0004-0000-0D00-000001000000}"/>
    <hyperlink ref="B31" location="_1.1.3.2.02.03.0.0.000__" display="_1.1.3.2.02.03.0.0.000__" xr:uid="{00000000-0004-0000-0D00-000003000000}"/>
    <hyperlink ref="A29" location="_1.1.3.2.01.04.0.0.000___Impuestos e" display="_1.1.3.2.01.04.0.0.000___Impuestos e" xr:uid="{00000000-0004-0000-0D00-000004000000}"/>
    <hyperlink ref="A35" location="_1.1.3.3.01.00.0.0.000__Licencias_  " display="_1.1.3.3.01.00.0.0.000__Licencias_  " xr:uid="{00000000-0004-0000-0D00-000005000000}"/>
    <hyperlink ref="B35" location="_1.1.3.3.01.00.0.0.000__Licencias_  " display="_1.1.3.3.01.00.0.0.000__Licencias_  " xr:uid="{00000000-0004-0000-0D00-000006000000}"/>
    <hyperlink ref="A38" location="_1.1.9.1.00.00.0.0.000___IMPUESTO DE" display="_1.1.9.1.00.00.0.0.000___IMPUESTO DE" xr:uid="{00000000-0004-0000-0D00-000007000000}"/>
    <hyperlink ref="B38" location="_1.1.9.1.00.00.0.0.000___IMPUESTO DE" display="_1.1.9.1.00.00.0.0.000___IMPUESTO DE" xr:uid="{00000000-0004-0000-0D00-000008000000}"/>
    <hyperlink ref="A47" location="_1.3.1.2.04.01.0.0.000___Alquiler de" display="_1.3.1.2.04.01.0.0.000___Alquiler de" xr:uid="{00000000-0004-0000-0D00-000009000000}"/>
    <hyperlink ref="B47" location="_1.3.1.2.04.01.0.0.000___Alquiler de" display="_1.3.1.2.04.01.0.0.000___Alquiler de" xr:uid="{00000000-0004-0000-0D00-00000A000000}"/>
    <hyperlink ref="A50" location="_1.3.1.2.05.04.0.0.000___Servicios d" display="_1.3.1.2.05.04.0.0.000___Servicios d" xr:uid="{00000000-0004-0000-0D00-00000B000000}"/>
    <hyperlink ref="B50" location="_1.3.1.2.05.04.0.0.000___Servicios d" display="_1.3.1.2.05.04.0.0.000___Servicios d" xr:uid="{00000000-0004-0000-0D00-00000C000000}"/>
    <hyperlink ref="A53" location="_1.3.1.2.05.04.0.0.000___Servicios d" display="_1.3.1.2.05.04.0.0.000___Servicios d" xr:uid="{00000000-0004-0000-0D00-00000D000000}"/>
    <hyperlink ref="B53" location="_1.3.1.2.05.04.0.0.000___Servicios d" display="_1.3.1.2.05.04.0.0.000___Servicios d" xr:uid="{00000000-0004-0000-0D00-00000E000000}"/>
    <hyperlink ref="A71" location="_1.3.1.3.01.01.0.0.000__" display="_1.3.1.3.01.01.0.0.000__" xr:uid="{00000000-0004-0000-0D00-00000F000000}"/>
    <hyperlink ref="B71" location="_1.3.1.3.01.01.0.0.000__" display="_1.3.1.3.01.01.0.0.000__" xr:uid="{00000000-0004-0000-0D00-000010000000}"/>
    <hyperlink ref="A75" location="_1.3.1.3.02.09.0.0.000__" display="_1.3.1.3.02.09.0.0.000__" xr:uid="{00000000-0004-0000-0D00-000011000000}"/>
    <hyperlink ref="B75" location="_1.3.1.3.02.09.0.0.000__" display="_1.3.1.3.02.09.0.0.000__" xr:uid="{00000000-0004-0000-0D00-000012000000}"/>
    <hyperlink ref="A80" location="_1.3.4.1.00.00.0.0.000___Intereses m" display="_1.3.4.1.00.00.0.0.000___Intereses m" xr:uid="{00000000-0004-0000-0D00-000013000000}"/>
    <hyperlink ref="B80" location="_1.3.4.1.00.00.0.0.000___Intereses m" display="_1.3.4.1.00.00.0.0.000___Intereses m" xr:uid="{00000000-0004-0000-0D00-000014000000}"/>
  </hyperlinks>
  <pageMargins left="0.11811023622047245" right="0" top="0.35433070866141736" bottom="0.35433070866141736" header="0.31496062992125984" footer="0.31496062992125984"/>
  <pageSetup scale="60" orientation="portrait" horizontalDpi="4294967293" verticalDpi="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R454"/>
  <sheetViews>
    <sheetView zoomScale="85" zoomScaleNormal="85" workbookViewId="0">
      <selection activeCell="N27" sqref="N27"/>
    </sheetView>
  </sheetViews>
  <sheetFormatPr baseColWidth="10" defaultRowHeight="11.25"/>
  <cols>
    <col min="1" max="1" width="18.42578125" style="116" customWidth="1"/>
    <col min="2" max="2" width="27" style="116" customWidth="1"/>
    <col min="3" max="3" width="16.85546875" style="116" customWidth="1"/>
    <col min="4" max="4" width="4.5703125" style="257" customWidth="1"/>
    <col min="5" max="5" width="7.5703125" style="250" customWidth="1"/>
    <col min="6" max="7" width="5" style="250" customWidth="1"/>
    <col min="8" max="8" width="5.140625" style="250" customWidth="1"/>
    <col min="9" max="9" width="25.42578125" style="116" customWidth="1"/>
    <col min="10" max="10" width="16.85546875" style="120" customWidth="1"/>
    <col min="11" max="11" width="19.140625" style="116" customWidth="1"/>
    <col min="12" max="12" width="18.5703125" style="120" customWidth="1"/>
    <col min="13" max="13" width="17.42578125" style="120" customWidth="1"/>
    <col min="14" max="15" width="21.42578125" style="120" customWidth="1"/>
    <col min="16" max="16" width="14" style="116" customWidth="1"/>
    <col min="17" max="17" width="13.85546875" style="116" customWidth="1"/>
    <col min="18" max="18" width="13.28515625" style="116" customWidth="1"/>
    <col min="19" max="16384" width="11.42578125" style="116"/>
  </cols>
  <sheetData>
    <row r="1" spans="1:15">
      <c r="J1" s="394">
        <v>5</v>
      </c>
    </row>
    <row r="2" spans="1:15" ht="12.75">
      <c r="A2" s="1034" t="s">
        <v>199</v>
      </c>
      <c r="B2" s="1034"/>
      <c r="C2" s="1034"/>
      <c r="D2" s="1034"/>
      <c r="E2" s="1034"/>
      <c r="F2" s="1034"/>
      <c r="G2" s="1034"/>
      <c r="H2" s="1034"/>
      <c r="I2" s="1034"/>
      <c r="J2" s="1034"/>
    </row>
    <row r="3" spans="1:15" ht="12.75">
      <c r="A3" s="1034" t="s">
        <v>1118</v>
      </c>
      <c r="B3" s="1034"/>
      <c r="C3" s="1034"/>
      <c r="D3" s="1034"/>
      <c r="E3" s="1034"/>
      <c r="F3" s="1034"/>
      <c r="G3" s="1034"/>
      <c r="H3" s="1034"/>
      <c r="I3" s="1034"/>
      <c r="J3" s="1034"/>
    </row>
    <row r="4" spans="1:15" ht="12.75">
      <c r="A4" s="1034" t="s">
        <v>206</v>
      </c>
      <c r="B4" s="1034"/>
      <c r="C4" s="1034"/>
      <c r="D4" s="1034"/>
      <c r="E4" s="1034"/>
      <c r="F4" s="1034"/>
      <c r="G4" s="1034"/>
      <c r="H4" s="1034"/>
      <c r="I4" s="1034"/>
      <c r="J4" s="1034"/>
    </row>
    <row r="5" spans="1:15" ht="12.75">
      <c r="A5" s="1034" t="s">
        <v>42</v>
      </c>
      <c r="B5" s="1034"/>
      <c r="C5" s="1034"/>
      <c r="D5" s="1034"/>
      <c r="E5" s="1034"/>
      <c r="F5" s="1034"/>
      <c r="G5" s="1034"/>
      <c r="H5" s="1034"/>
      <c r="I5" s="1034"/>
      <c r="J5" s="1034"/>
      <c r="K5" s="522"/>
    </row>
    <row r="6" spans="1:15">
      <c r="D6" s="254"/>
      <c r="K6" s="522"/>
    </row>
    <row r="7" spans="1:15">
      <c r="A7" s="1035" t="s">
        <v>1020</v>
      </c>
      <c r="B7" s="1035" t="s">
        <v>43</v>
      </c>
      <c r="C7" s="1035" t="s">
        <v>1022</v>
      </c>
      <c r="D7" s="1037" t="s">
        <v>45</v>
      </c>
      <c r="E7" s="1038" t="s">
        <v>46</v>
      </c>
      <c r="F7" s="1038" t="s">
        <v>47</v>
      </c>
      <c r="G7" s="1038" t="s">
        <v>93</v>
      </c>
      <c r="H7" s="1038" t="s">
        <v>94</v>
      </c>
      <c r="I7" s="1041" t="s">
        <v>44</v>
      </c>
      <c r="J7" s="1043" t="s">
        <v>1022</v>
      </c>
      <c r="L7" s="523" t="s">
        <v>433</v>
      </c>
      <c r="M7" s="523" t="s">
        <v>48</v>
      </c>
      <c r="N7" s="523" t="s">
        <v>49</v>
      </c>
    </row>
    <row r="8" spans="1:15" s="117" customFormat="1" ht="15" customHeight="1">
      <c r="A8" s="1035"/>
      <c r="B8" s="1036"/>
      <c r="C8" s="1036"/>
      <c r="D8" s="1037"/>
      <c r="E8" s="1039"/>
      <c r="F8" s="1039"/>
      <c r="G8" s="1039"/>
      <c r="H8" s="1039"/>
      <c r="I8" s="1042"/>
      <c r="J8" s="1044"/>
      <c r="L8" s="497"/>
      <c r="M8" s="497"/>
      <c r="N8" s="497"/>
      <c r="O8" s="497"/>
    </row>
    <row r="9" spans="1:15" ht="26.25" customHeight="1">
      <c r="A9" s="246" t="s">
        <v>912</v>
      </c>
      <c r="B9" s="258" t="s">
        <v>922</v>
      </c>
      <c r="C9" s="327">
        <f>+'Ingreso Contraloría'!C11</f>
        <v>368000000</v>
      </c>
      <c r="D9" s="328" t="s">
        <v>433</v>
      </c>
      <c r="E9" s="329" t="s">
        <v>358</v>
      </c>
      <c r="F9" s="330">
        <v>0</v>
      </c>
      <c r="G9" s="330" t="s">
        <v>358</v>
      </c>
      <c r="H9" s="330" t="s">
        <v>358</v>
      </c>
      <c r="I9" s="462" t="s">
        <v>95</v>
      </c>
      <c r="J9" s="498">
        <f>+C9*10%</f>
        <v>36800000</v>
      </c>
      <c r="K9" s="120">
        <f>+C9</f>
        <v>368000000</v>
      </c>
      <c r="L9" s="120">
        <f>+J9</f>
        <v>36800000</v>
      </c>
    </row>
    <row r="10" spans="1:15" ht="11.25" customHeight="1">
      <c r="A10" s="248"/>
      <c r="B10" s="259"/>
      <c r="C10" s="331"/>
      <c r="D10" s="332"/>
      <c r="E10" s="333"/>
      <c r="F10" s="252"/>
      <c r="G10" s="252"/>
      <c r="H10" s="252"/>
      <c r="I10" s="463"/>
      <c r="J10" s="499"/>
      <c r="K10" s="120">
        <f>SUM(J9:J71)</f>
        <v>255441240.40465921</v>
      </c>
    </row>
    <row r="11" spans="1:15" ht="13.5" customHeight="1">
      <c r="A11" s="248"/>
      <c r="B11" s="259"/>
      <c r="C11" s="331"/>
      <c r="D11" s="332" t="s">
        <v>433</v>
      </c>
      <c r="E11" s="333" t="s">
        <v>361</v>
      </c>
      <c r="F11" s="252"/>
      <c r="G11" s="252"/>
      <c r="H11" s="252"/>
      <c r="I11" s="463" t="s">
        <v>413</v>
      </c>
      <c r="J11" s="499">
        <f>+Tranferencias!E11-Tranferencias!E15-Tranferencias!E16+Tranferencias!E25+Tranferencias!E26+Tranferencias!E27</f>
        <v>80583760.431041673</v>
      </c>
      <c r="K11" s="120">
        <f>+K9-K10</f>
        <v>112558759.59534079</v>
      </c>
      <c r="L11" s="120">
        <f>+J11</f>
        <v>80583760.431041673</v>
      </c>
      <c r="O11" s="120">
        <v>78051441.269999996</v>
      </c>
    </row>
    <row r="12" spans="1:15" ht="13.5" customHeight="1">
      <c r="A12" s="248"/>
      <c r="B12" s="259"/>
      <c r="C12" s="331"/>
      <c r="D12" s="332" t="s">
        <v>48</v>
      </c>
      <c r="E12" s="333" t="s">
        <v>685</v>
      </c>
      <c r="F12" s="406" t="s">
        <v>96</v>
      </c>
      <c r="G12" s="406" t="s">
        <v>358</v>
      </c>
      <c r="H12" s="406" t="s">
        <v>358</v>
      </c>
      <c r="I12" s="464" t="s">
        <v>95</v>
      </c>
      <c r="J12" s="499">
        <f>+'Distribucion Programas II '!M13</f>
        <v>7045942.289075952</v>
      </c>
      <c r="K12" s="120">
        <f>SUM(J12:J27)</f>
        <v>14613107.339915466</v>
      </c>
      <c r="M12" s="120" t="e">
        <f>#N/A</f>
        <v>#N/A</v>
      </c>
      <c r="O12" s="120">
        <f>-J11-'Deuda Interna'!E16</f>
        <v>-217481568.81104165</v>
      </c>
    </row>
    <row r="13" spans="1:15" ht="13.5" customHeight="1">
      <c r="A13" s="248"/>
      <c r="B13" s="259"/>
      <c r="C13" s="331"/>
      <c r="D13" s="332" t="s">
        <v>48</v>
      </c>
      <c r="E13" s="333" t="s">
        <v>685</v>
      </c>
      <c r="F13" s="406" t="s">
        <v>96</v>
      </c>
      <c r="G13" s="406" t="s">
        <v>358</v>
      </c>
      <c r="H13" s="406" t="s">
        <v>360</v>
      </c>
      <c r="I13" s="464" t="s">
        <v>1095</v>
      </c>
      <c r="J13" s="499">
        <v>0</v>
      </c>
      <c r="K13" s="260"/>
      <c r="M13" s="120">
        <f>+J13</f>
        <v>0</v>
      </c>
      <c r="O13" s="120">
        <f>+O11+O12</f>
        <v>-139430127.54104167</v>
      </c>
    </row>
    <row r="14" spans="1:15" ht="13.5" customHeight="1">
      <c r="A14" s="248"/>
      <c r="B14" s="259"/>
      <c r="C14" s="331"/>
      <c r="D14" s="332" t="s">
        <v>48</v>
      </c>
      <c r="E14" s="333" t="s">
        <v>685</v>
      </c>
      <c r="F14" s="406" t="s">
        <v>96</v>
      </c>
      <c r="G14" s="406" t="s">
        <v>358</v>
      </c>
      <c r="H14" s="406" t="s">
        <v>362</v>
      </c>
      <c r="I14" s="447" t="s">
        <v>442</v>
      </c>
      <c r="J14" s="499">
        <f>+'Distribucion Programas II '!M17</f>
        <v>352297.11445379758</v>
      </c>
      <c r="K14" s="260">
        <f>+'Distribucion Programas II '!M10-'Distribucion Programas II '!M136</f>
        <v>16515451.388598144</v>
      </c>
      <c r="M14" s="120" t="e">
        <f>#N/A</f>
        <v>#N/A</v>
      </c>
    </row>
    <row r="15" spans="1:15" ht="13.5" customHeight="1">
      <c r="A15" s="248"/>
      <c r="B15" s="259"/>
      <c r="C15" s="331"/>
      <c r="D15" s="332" t="s">
        <v>48</v>
      </c>
      <c r="E15" s="333" t="s">
        <v>685</v>
      </c>
      <c r="F15" s="406" t="s">
        <v>96</v>
      </c>
      <c r="G15" s="406" t="s">
        <v>360</v>
      </c>
      <c r="H15" s="406" t="s">
        <v>358</v>
      </c>
      <c r="I15" s="447" t="s">
        <v>98</v>
      </c>
      <c r="J15" s="499">
        <f>+'Distribucion Programas II '!M27</f>
        <v>1264869.1395832191</v>
      </c>
      <c r="K15" s="260"/>
      <c r="M15" s="120" t="e">
        <f>#N/A</f>
        <v>#N/A</v>
      </c>
    </row>
    <row r="16" spans="1:15" ht="13.5" customHeight="1">
      <c r="A16" s="248"/>
      <c r="B16" s="259"/>
      <c r="C16" s="331"/>
      <c r="D16" s="332" t="s">
        <v>48</v>
      </c>
      <c r="E16" s="333" t="s">
        <v>685</v>
      </c>
      <c r="F16" s="406" t="s">
        <v>96</v>
      </c>
      <c r="G16" s="406" t="s">
        <v>360</v>
      </c>
      <c r="H16" s="406" t="s">
        <v>360</v>
      </c>
      <c r="I16" s="465" t="s">
        <v>99</v>
      </c>
      <c r="J16" s="499">
        <f>+'Distribucion Programas II '!M29</f>
        <v>1034737.532513942</v>
      </c>
      <c r="K16" s="260"/>
      <c r="M16" s="120" t="e">
        <f>#N/A</f>
        <v>#N/A</v>
      </c>
    </row>
    <row r="17" spans="1:17" ht="13.5" customHeight="1">
      <c r="A17" s="248"/>
      <c r="B17" s="259"/>
      <c r="C17" s="331"/>
      <c r="D17" s="332" t="s">
        <v>48</v>
      </c>
      <c r="E17" s="333" t="s">
        <v>685</v>
      </c>
      <c r="F17" s="406" t="s">
        <v>96</v>
      </c>
      <c r="G17" s="406" t="s">
        <v>361</v>
      </c>
      <c r="H17" s="406" t="s">
        <v>358</v>
      </c>
      <c r="I17" s="465" t="s">
        <v>100</v>
      </c>
      <c r="J17" s="499">
        <f>+'Distribucion Programas II '!M34</f>
        <v>1149018.2683978346</v>
      </c>
      <c r="K17" s="260"/>
      <c r="M17" s="120" t="e">
        <f>#N/A</f>
        <v>#N/A</v>
      </c>
    </row>
    <row r="18" spans="1:17" ht="13.5" customHeight="1">
      <c r="A18" s="248"/>
      <c r="B18" s="259"/>
      <c r="C18" s="331"/>
      <c r="D18" s="332" t="s">
        <v>48</v>
      </c>
      <c r="E18" s="333" t="s">
        <v>685</v>
      </c>
      <c r="F18" s="406" t="s">
        <v>96</v>
      </c>
      <c r="G18" s="406" t="s">
        <v>361</v>
      </c>
      <c r="H18" s="406" t="s">
        <v>362</v>
      </c>
      <c r="I18" s="465" t="s">
        <v>101</v>
      </c>
      <c r="J18" s="499">
        <f>+'Distribucion Programas II '!M38</f>
        <v>62109.095589072145</v>
      </c>
      <c r="K18" s="260"/>
      <c r="M18" s="120" t="e">
        <f>#N/A</f>
        <v>#N/A</v>
      </c>
    </row>
    <row r="19" spans="1:17" ht="13.5" customHeight="1">
      <c r="A19" s="248"/>
      <c r="B19" s="259"/>
      <c r="C19" s="331"/>
      <c r="D19" s="332" t="s">
        <v>48</v>
      </c>
      <c r="E19" s="333" t="s">
        <v>685</v>
      </c>
      <c r="F19" s="406" t="s">
        <v>96</v>
      </c>
      <c r="G19" s="406" t="s">
        <v>362</v>
      </c>
      <c r="H19" s="406" t="s">
        <v>359</v>
      </c>
      <c r="I19" s="465" t="s">
        <v>102</v>
      </c>
      <c r="J19" s="499">
        <f>+'Distribucion Programas II '!M43</f>
        <v>186327.28676721643</v>
      </c>
      <c r="K19" s="260"/>
      <c r="M19" s="120" t="e">
        <f>#N/A</f>
        <v>#N/A</v>
      </c>
      <c r="O19" s="120">
        <f>SUM(J12:J27)-13802494.27+252000</f>
        <v>1062613.069915466</v>
      </c>
    </row>
    <row r="20" spans="1:17" ht="13.5" customHeight="1">
      <c r="A20" s="248"/>
      <c r="B20" s="259"/>
      <c r="C20" s="331"/>
      <c r="D20" s="332" t="s">
        <v>48</v>
      </c>
      <c r="E20" s="333" t="s">
        <v>685</v>
      </c>
      <c r="F20" s="406" t="s">
        <v>96</v>
      </c>
      <c r="G20" s="406" t="s">
        <v>362</v>
      </c>
      <c r="H20" s="406" t="s">
        <v>360</v>
      </c>
      <c r="I20" s="465" t="s">
        <v>103</v>
      </c>
      <c r="J20" s="499">
        <f>+'Distribucion Programas II '!M44</f>
        <v>372654.57353443286</v>
      </c>
      <c r="K20" s="260"/>
      <c r="M20" s="120" t="e">
        <f>#N/A</f>
        <v>#N/A</v>
      </c>
    </row>
    <row r="21" spans="1:17" ht="13.5" customHeight="1">
      <c r="A21" s="248"/>
      <c r="B21" s="259"/>
      <c r="C21" s="331"/>
      <c r="D21" s="332" t="s">
        <v>48</v>
      </c>
      <c r="E21" s="333" t="s">
        <v>685</v>
      </c>
      <c r="F21" s="406" t="s">
        <v>104</v>
      </c>
      <c r="G21" s="406" t="s">
        <v>359</v>
      </c>
      <c r="H21" s="406" t="s">
        <v>359</v>
      </c>
      <c r="I21" s="550" t="s">
        <v>1123</v>
      </c>
      <c r="J21" s="499">
        <v>800000</v>
      </c>
      <c r="K21" s="260"/>
    </row>
    <row r="22" spans="1:17" ht="13.5" customHeight="1">
      <c r="A22" s="248"/>
      <c r="B22" s="259"/>
      <c r="C22" s="331"/>
      <c r="D22" s="332" t="s">
        <v>48</v>
      </c>
      <c r="E22" s="333" t="s">
        <v>685</v>
      </c>
      <c r="F22" s="406" t="s">
        <v>104</v>
      </c>
      <c r="G22" s="406" t="s">
        <v>360</v>
      </c>
      <c r="H22" s="406" t="s">
        <v>358</v>
      </c>
      <c r="I22" s="550" t="s">
        <v>1002</v>
      </c>
      <c r="J22" s="499">
        <v>500000</v>
      </c>
      <c r="K22" s="260"/>
    </row>
    <row r="23" spans="1:17" ht="13.5" customHeight="1">
      <c r="A23" s="248"/>
      <c r="B23" s="259"/>
      <c r="C23" s="331"/>
      <c r="D23" s="332" t="s">
        <v>48</v>
      </c>
      <c r="E23" s="333" t="s">
        <v>685</v>
      </c>
      <c r="F23" s="406" t="s">
        <v>104</v>
      </c>
      <c r="G23" s="406" t="s">
        <v>363</v>
      </c>
      <c r="H23" s="406" t="s">
        <v>358</v>
      </c>
      <c r="I23" s="550" t="s">
        <v>106</v>
      </c>
      <c r="J23" s="499">
        <v>245152.04</v>
      </c>
      <c r="K23" s="260"/>
    </row>
    <row r="24" spans="1:17" ht="13.5" customHeight="1">
      <c r="A24" s="248"/>
      <c r="B24" s="259"/>
      <c r="C24" s="331"/>
      <c r="D24" s="332" t="s">
        <v>48</v>
      </c>
      <c r="E24" s="333" t="s">
        <v>685</v>
      </c>
      <c r="F24" s="406" t="s">
        <v>104</v>
      </c>
      <c r="G24" s="406" t="s">
        <v>107</v>
      </c>
      <c r="H24" s="406" t="s">
        <v>107</v>
      </c>
      <c r="I24" s="550" t="s">
        <v>1124</v>
      </c>
      <c r="J24" s="499">
        <v>400000</v>
      </c>
      <c r="K24" s="260"/>
    </row>
    <row r="25" spans="1:17" ht="13.5" customHeight="1">
      <c r="A25" s="248"/>
      <c r="B25" s="259"/>
      <c r="C25" s="331"/>
      <c r="D25" s="332" t="s">
        <v>48</v>
      </c>
      <c r="E25" s="333" t="s">
        <v>685</v>
      </c>
      <c r="F25" s="333" t="s">
        <v>108</v>
      </c>
      <c r="G25" s="333" t="s">
        <v>109</v>
      </c>
      <c r="H25" s="333" t="s">
        <v>358</v>
      </c>
      <c r="I25" s="463" t="s">
        <v>1089</v>
      </c>
      <c r="J25" s="499">
        <v>500000</v>
      </c>
      <c r="K25" s="260"/>
    </row>
    <row r="26" spans="1:17" ht="13.5" customHeight="1">
      <c r="A26" s="248"/>
      <c r="B26" s="259"/>
      <c r="C26" s="331"/>
      <c r="D26" s="332" t="s">
        <v>48</v>
      </c>
      <c r="E26" s="333" t="s">
        <v>685</v>
      </c>
      <c r="F26" s="333" t="s">
        <v>108</v>
      </c>
      <c r="G26" s="333" t="s">
        <v>109</v>
      </c>
      <c r="H26" s="333" t="s">
        <v>360</v>
      </c>
      <c r="I26" s="463" t="s">
        <v>128</v>
      </c>
      <c r="J26" s="499">
        <v>500000</v>
      </c>
      <c r="K26" s="260"/>
    </row>
    <row r="27" spans="1:17" ht="13.5" customHeight="1">
      <c r="A27" s="248"/>
      <c r="B27" s="259"/>
      <c r="C27" s="331"/>
      <c r="D27" s="332" t="s">
        <v>48</v>
      </c>
      <c r="E27" s="333" t="s">
        <v>685</v>
      </c>
      <c r="F27" s="406" t="s">
        <v>108</v>
      </c>
      <c r="G27" s="406" t="s">
        <v>109</v>
      </c>
      <c r="H27" s="406" t="s">
        <v>362</v>
      </c>
      <c r="I27" s="550" t="s">
        <v>1125</v>
      </c>
      <c r="J27" s="499">
        <v>200000</v>
      </c>
      <c r="K27" s="260"/>
    </row>
    <row r="28" spans="1:17" ht="13.5" customHeight="1">
      <c r="A28" s="248"/>
      <c r="B28" s="259"/>
      <c r="C28" s="331"/>
      <c r="D28" s="461" t="s">
        <v>48</v>
      </c>
      <c r="E28" s="406" t="s">
        <v>368</v>
      </c>
      <c r="F28" s="406" t="s">
        <v>96</v>
      </c>
      <c r="G28" s="406" t="s">
        <v>358</v>
      </c>
      <c r="H28" s="406" t="s">
        <v>358</v>
      </c>
      <c r="I28" s="464" t="s">
        <v>95</v>
      </c>
      <c r="J28" s="500">
        <f>+'Distribucion Programas II '!N13</f>
        <v>50864174.040558062</v>
      </c>
      <c r="K28" s="260"/>
      <c r="M28" s="120" t="e">
        <f>#N/A</f>
        <v>#N/A</v>
      </c>
      <c r="P28" s="120"/>
      <c r="Q28" s="120"/>
    </row>
    <row r="29" spans="1:17" ht="13.5" customHeight="1">
      <c r="A29" s="248"/>
      <c r="B29" s="259"/>
      <c r="C29" s="331"/>
      <c r="D29" s="461" t="s">
        <v>48</v>
      </c>
      <c r="E29" s="406" t="s">
        <v>368</v>
      </c>
      <c r="F29" s="406" t="s">
        <v>96</v>
      </c>
      <c r="G29" s="406" t="s">
        <v>358</v>
      </c>
      <c r="H29" s="406" t="s">
        <v>360</v>
      </c>
      <c r="I29" s="464" t="s">
        <v>1095</v>
      </c>
      <c r="J29" s="500">
        <f>+'Distribucion Programas II '!N15</f>
        <v>4505327.4840125302</v>
      </c>
      <c r="K29" s="260"/>
      <c r="M29" s="120" t="e">
        <f>#N/A</f>
        <v>#N/A</v>
      </c>
      <c r="P29" s="120"/>
      <c r="Q29" s="120"/>
    </row>
    <row r="30" spans="1:17" ht="13.5" customHeight="1">
      <c r="A30" s="248"/>
      <c r="B30" s="259"/>
      <c r="C30" s="331"/>
      <c r="D30" s="461" t="s">
        <v>48</v>
      </c>
      <c r="E30" s="406" t="s">
        <v>368</v>
      </c>
      <c r="F30" s="406" t="s">
        <v>96</v>
      </c>
      <c r="G30" s="406" t="s">
        <v>358</v>
      </c>
      <c r="H30" s="406" t="s">
        <v>362</v>
      </c>
      <c r="I30" s="447" t="s">
        <v>442</v>
      </c>
      <c r="J30" s="500">
        <f>+'Distribucion Programas II '!N17</f>
        <v>2920997.2710136552</v>
      </c>
      <c r="K30" s="260">
        <f>SUM(J28:J57)</f>
        <v>116180497.2597957</v>
      </c>
      <c r="M30" s="120" t="e">
        <f>#N/A</f>
        <v>#N/A</v>
      </c>
      <c r="P30" s="120"/>
      <c r="Q30" s="120"/>
    </row>
    <row r="31" spans="1:17" ht="13.5" customHeight="1">
      <c r="A31" s="248"/>
      <c r="B31" s="259"/>
      <c r="C31" s="331"/>
      <c r="D31" s="461" t="s">
        <v>48</v>
      </c>
      <c r="E31" s="406" t="s">
        <v>368</v>
      </c>
      <c r="F31" s="406" t="s">
        <v>96</v>
      </c>
      <c r="G31" s="406" t="s">
        <v>359</v>
      </c>
      <c r="H31" s="406" t="s">
        <v>358</v>
      </c>
      <c r="I31" s="447" t="s">
        <v>1107</v>
      </c>
      <c r="J31" s="500">
        <f>+'Distribucion Programas II '!N20</f>
        <v>5000000</v>
      </c>
      <c r="K31" s="260"/>
      <c r="M31" s="120" t="e">
        <f>#N/A</f>
        <v>#N/A</v>
      </c>
      <c r="P31" s="120"/>
      <c r="Q31" s="120"/>
    </row>
    <row r="32" spans="1:17" ht="13.5" customHeight="1">
      <c r="A32" s="248"/>
      <c r="B32" s="259"/>
      <c r="C32" s="277"/>
      <c r="D32" s="461" t="s">
        <v>48</v>
      </c>
      <c r="E32" s="406" t="s">
        <v>368</v>
      </c>
      <c r="F32" s="406" t="s">
        <v>96</v>
      </c>
      <c r="G32" s="406" t="s">
        <v>360</v>
      </c>
      <c r="H32" s="406" t="s">
        <v>358</v>
      </c>
      <c r="I32" s="447" t="s">
        <v>98</v>
      </c>
      <c r="J32" s="500">
        <f>+'Distribucion Programas II '!N27</f>
        <v>12808288.783917975</v>
      </c>
      <c r="K32" s="120">
        <f>+'Distribucion Programas II '!N10</f>
        <v>160854827.45994252</v>
      </c>
      <c r="M32" s="120" t="e">
        <f>#N/A</f>
        <v>#N/A</v>
      </c>
      <c r="P32" s="120"/>
      <c r="Q32" s="120"/>
    </row>
    <row r="33" spans="1:13" ht="13.5" customHeight="1">
      <c r="A33" s="248"/>
      <c r="B33" s="259"/>
      <c r="C33" s="277"/>
      <c r="D33" s="461" t="s">
        <v>48</v>
      </c>
      <c r="E33" s="406" t="s">
        <v>368</v>
      </c>
      <c r="F33" s="406" t="s">
        <v>96</v>
      </c>
      <c r="G33" s="406" t="s">
        <v>360</v>
      </c>
      <c r="H33" s="406" t="s">
        <v>360</v>
      </c>
      <c r="I33" s="465" t="s">
        <v>99</v>
      </c>
      <c r="J33" s="500">
        <f>+'Distribucion Programas II '!N29</f>
        <v>7415989.9339883747</v>
      </c>
      <c r="K33" s="522">
        <f>+K30-K32</f>
        <v>-44674330.200146824</v>
      </c>
      <c r="M33" s="120" t="e">
        <f>#N/A</f>
        <v>#N/A</v>
      </c>
    </row>
    <row r="34" spans="1:13" ht="13.5" customHeight="1">
      <c r="A34" s="248"/>
      <c r="B34" s="259"/>
      <c r="C34" s="277"/>
      <c r="D34" s="461" t="s">
        <v>48</v>
      </c>
      <c r="E34" s="406" t="s">
        <v>368</v>
      </c>
      <c r="F34" s="406" t="s">
        <v>96</v>
      </c>
      <c r="G34" s="406" t="s">
        <v>361</v>
      </c>
      <c r="H34" s="406" t="s">
        <v>358</v>
      </c>
      <c r="I34" s="465" t="s">
        <v>100</v>
      </c>
      <c r="J34" s="500">
        <f>+'Distribucion Programas II '!N34</f>
        <v>8235042.8438646421</v>
      </c>
      <c r="M34" s="120" t="e">
        <f>#N/A</f>
        <v>#N/A</v>
      </c>
    </row>
    <row r="35" spans="1:13" ht="13.5" customHeight="1">
      <c r="A35" s="248"/>
      <c r="B35" s="259"/>
      <c r="C35" s="277"/>
      <c r="D35" s="461" t="s">
        <v>48</v>
      </c>
      <c r="E35" s="406" t="s">
        <v>368</v>
      </c>
      <c r="F35" s="406" t="s">
        <v>96</v>
      </c>
      <c r="G35" s="406" t="s">
        <v>361</v>
      </c>
      <c r="H35" s="406" t="s">
        <v>362</v>
      </c>
      <c r="I35" s="465" t="s">
        <v>101</v>
      </c>
      <c r="J35" s="500">
        <f>+'Distribucion Programas II '!N38</f>
        <v>445137.4510197104</v>
      </c>
      <c r="M35" s="120" t="e">
        <f>#N/A</f>
        <v>#N/A</v>
      </c>
    </row>
    <row r="36" spans="1:13" ht="13.5" customHeight="1">
      <c r="A36" s="248"/>
      <c r="B36" s="259"/>
      <c r="C36" s="277"/>
      <c r="D36" s="461" t="s">
        <v>48</v>
      </c>
      <c r="E36" s="406" t="s">
        <v>368</v>
      </c>
      <c r="F36" s="406" t="s">
        <v>96</v>
      </c>
      <c r="G36" s="406" t="s">
        <v>362</v>
      </c>
      <c r="H36" s="406" t="s">
        <v>359</v>
      </c>
      <c r="I36" s="465" t="s">
        <v>102</v>
      </c>
      <c r="J36" s="500">
        <f>+'Distribucion Programas II '!N43</f>
        <v>1335412.3530591312</v>
      </c>
      <c r="M36" s="120" t="e">
        <f>#N/A</f>
        <v>#N/A</v>
      </c>
    </row>
    <row r="37" spans="1:13" ht="13.5" customHeight="1">
      <c r="A37" s="248"/>
      <c r="B37" s="259"/>
      <c r="C37" s="277"/>
      <c r="D37" s="461" t="s">
        <v>48</v>
      </c>
      <c r="E37" s="406" t="s">
        <v>368</v>
      </c>
      <c r="F37" s="406" t="s">
        <v>96</v>
      </c>
      <c r="G37" s="406" t="s">
        <v>362</v>
      </c>
      <c r="H37" s="406" t="s">
        <v>360</v>
      </c>
      <c r="I37" s="465" t="s">
        <v>103</v>
      </c>
      <c r="J37" s="500">
        <f>+'Distribucion Programas II '!N44</f>
        <v>2670824.7061182624</v>
      </c>
      <c r="M37" s="120" t="e">
        <f>#N/A</f>
        <v>#N/A</v>
      </c>
    </row>
    <row r="38" spans="1:13" ht="13.5" customHeight="1">
      <c r="A38" s="248"/>
      <c r="B38" s="259"/>
      <c r="C38" s="277"/>
      <c r="D38" s="461" t="s">
        <v>48</v>
      </c>
      <c r="E38" s="406" t="s">
        <v>368</v>
      </c>
      <c r="F38" s="406" t="s">
        <v>104</v>
      </c>
      <c r="G38" s="452" t="s">
        <v>359</v>
      </c>
      <c r="H38" s="406" t="s">
        <v>358</v>
      </c>
      <c r="I38" s="467" t="s">
        <v>1126</v>
      </c>
      <c r="J38" s="500">
        <v>200000</v>
      </c>
    </row>
    <row r="39" spans="1:13" ht="13.5" customHeight="1">
      <c r="A39" s="248"/>
      <c r="B39" s="259"/>
      <c r="C39" s="277"/>
      <c r="D39" s="461" t="s">
        <v>48</v>
      </c>
      <c r="E39" s="406" t="s">
        <v>368</v>
      </c>
      <c r="F39" s="406" t="s">
        <v>104</v>
      </c>
      <c r="G39" s="406" t="s">
        <v>359</v>
      </c>
      <c r="H39" s="406" t="s">
        <v>359</v>
      </c>
      <c r="I39" s="550" t="s">
        <v>1123</v>
      </c>
      <c r="J39" s="500">
        <v>2500000</v>
      </c>
    </row>
    <row r="40" spans="1:13" ht="13.5" customHeight="1">
      <c r="A40" s="248"/>
      <c r="B40" s="259"/>
      <c r="C40" s="277"/>
      <c r="D40" s="461" t="s">
        <v>48</v>
      </c>
      <c r="E40" s="406" t="s">
        <v>368</v>
      </c>
      <c r="F40" s="406" t="s">
        <v>104</v>
      </c>
      <c r="G40" s="452" t="s">
        <v>360</v>
      </c>
      <c r="H40" s="406" t="s">
        <v>359</v>
      </c>
      <c r="I40" s="550" t="s">
        <v>1128</v>
      </c>
      <c r="J40" s="500">
        <v>600000</v>
      </c>
    </row>
    <row r="41" spans="1:13" ht="13.5" customHeight="1">
      <c r="A41" s="248"/>
      <c r="B41" s="259"/>
      <c r="C41" s="277"/>
      <c r="D41" s="461" t="s">
        <v>48</v>
      </c>
      <c r="E41" s="406" t="s">
        <v>368</v>
      </c>
      <c r="F41" s="406" t="s">
        <v>104</v>
      </c>
      <c r="G41" s="452" t="s">
        <v>360</v>
      </c>
      <c r="H41" s="406" t="s">
        <v>359</v>
      </c>
      <c r="I41" s="467" t="s">
        <v>1127</v>
      </c>
      <c r="J41" s="500">
        <v>500000</v>
      </c>
    </row>
    <row r="42" spans="1:13" ht="13.5" customHeight="1">
      <c r="A42" s="248"/>
      <c r="B42" s="259"/>
      <c r="C42" s="277"/>
      <c r="D42" s="334" t="s">
        <v>48</v>
      </c>
      <c r="E42" s="333" t="s">
        <v>368</v>
      </c>
      <c r="F42" s="406" t="s">
        <v>104</v>
      </c>
      <c r="G42" s="452" t="s">
        <v>361</v>
      </c>
      <c r="H42" s="406" t="s">
        <v>109</v>
      </c>
      <c r="I42" s="467" t="s">
        <v>1108</v>
      </c>
      <c r="J42" s="500">
        <f>+'Distribucion Programas II '!N83</f>
        <v>0</v>
      </c>
      <c r="M42" s="120" t="e">
        <f>#N/A</f>
        <v>#N/A</v>
      </c>
    </row>
    <row r="43" spans="1:13" ht="13.5" customHeight="1">
      <c r="A43" s="248"/>
      <c r="B43" s="259"/>
      <c r="C43" s="277"/>
      <c r="D43" s="334" t="s">
        <v>48</v>
      </c>
      <c r="E43" s="333" t="s">
        <v>368</v>
      </c>
      <c r="F43" s="406" t="s">
        <v>104</v>
      </c>
      <c r="G43" s="452" t="s">
        <v>362</v>
      </c>
      <c r="H43" s="406" t="s">
        <v>359</v>
      </c>
      <c r="I43" s="467" t="s">
        <v>105</v>
      </c>
      <c r="J43" s="500">
        <f>+'Distribucion Programas II '!N87</f>
        <v>1500000</v>
      </c>
      <c r="M43" s="120" t="e">
        <f>#N/A</f>
        <v>#N/A</v>
      </c>
    </row>
    <row r="44" spans="1:13" ht="13.5" customHeight="1">
      <c r="A44" s="248"/>
      <c r="B44" s="259"/>
      <c r="C44" s="277"/>
      <c r="D44" s="334" t="s">
        <v>48</v>
      </c>
      <c r="E44" s="333" t="s">
        <v>368</v>
      </c>
      <c r="F44" s="333" t="s">
        <v>104</v>
      </c>
      <c r="G44" s="333" t="s">
        <v>363</v>
      </c>
      <c r="H44" s="333" t="s">
        <v>358</v>
      </c>
      <c r="I44" s="466" t="s">
        <v>106</v>
      </c>
      <c r="J44" s="500">
        <f>+'Distribucion Programas II '!N92</f>
        <v>3729302.392243363</v>
      </c>
      <c r="M44" s="120" t="e">
        <f>#N/A</f>
        <v>#N/A</v>
      </c>
    </row>
    <row r="45" spans="1:13" ht="13.5" customHeight="1">
      <c r="A45" s="248"/>
      <c r="B45" s="259"/>
      <c r="C45" s="68"/>
      <c r="D45" s="334" t="s">
        <v>48</v>
      </c>
      <c r="E45" s="333" t="s">
        <v>368</v>
      </c>
      <c r="F45" s="333" t="s">
        <v>104</v>
      </c>
      <c r="G45" s="333" t="s">
        <v>107</v>
      </c>
      <c r="H45" s="333" t="s">
        <v>358</v>
      </c>
      <c r="I45" s="463" t="s">
        <v>1129</v>
      </c>
      <c r="J45" s="500">
        <v>300000</v>
      </c>
    </row>
    <row r="46" spans="1:13" ht="13.5" customHeight="1">
      <c r="A46" s="248"/>
      <c r="B46" s="259"/>
      <c r="C46" s="68"/>
      <c r="D46" s="334" t="s">
        <v>48</v>
      </c>
      <c r="E46" s="333" t="s">
        <v>368</v>
      </c>
      <c r="F46" s="333" t="s">
        <v>104</v>
      </c>
      <c r="G46" s="333" t="s">
        <v>107</v>
      </c>
      <c r="H46" s="333" t="s">
        <v>362</v>
      </c>
      <c r="I46" s="463" t="s">
        <v>1109</v>
      </c>
      <c r="J46" s="500">
        <f>+'Distribucion Programas II '!N106</f>
        <v>500000</v>
      </c>
      <c r="M46" s="120" t="e">
        <f>#N/A</f>
        <v>#N/A</v>
      </c>
    </row>
    <row r="47" spans="1:13" ht="13.5" customHeight="1">
      <c r="A47" s="248"/>
      <c r="B47" s="259"/>
      <c r="C47" s="68"/>
      <c r="D47" s="334" t="s">
        <v>48</v>
      </c>
      <c r="E47" s="333" t="s">
        <v>368</v>
      </c>
      <c r="F47" s="333" t="s">
        <v>104</v>
      </c>
      <c r="G47" s="333" t="s">
        <v>107</v>
      </c>
      <c r="H47" s="333" t="s">
        <v>107</v>
      </c>
      <c r="I47" s="463" t="s">
        <v>1130</v>
      </c>
      <c r="J47" s="500">
        <v>700000</v>
      </c>
    </row>
    <row r="48" spans="1:13" ht="13.5" customHeight="1">
      <c r="A48" s="248"/>
      <c r="B48" s="259"/>
      <c r="C48" s="68"/>
      <c r="D48" s="334" t="s">
        <v>48</v>
      </c>
      <c r="E48" s="333" t="s">
        <v>368</v>
      </c>
      <c r="F48" s="333" t="s">
        <v>104</v>
      </c>
      <c r="G48" s="333" t="s">
        <v>107</v>
      </c>
      <c r="H48" s="333" t="s">
        <v>109</v>
      </c>
      <c r="I48" s="463" t="s">
        <v>1131</v>
      </c>
      <c r="J48" s="500">
        <v>100000</v>
      </c>
    </row>
    <row r="49" spans="1:15" ht="13.5" customHeight="1">
      <c r="A49" s="248"/>
      <c r="B49" s="259"/>
      <c r="C49" s="68"/>
      <c r="D49" s="334" t="s">
        <v>48</v>
      </c>
      <c r="E49" s="333" t="s">
        <v>368</v>
      </c>
      <c r="F49" s="333" t="s">
        <v>104</v>
      </c>
      <c r="G49" s="333" t="s">
        <v>365</v>
      </c>
      <c r="H49" s="333" t="s">
        <v>109</v>
      </c>
      <c r="I49" s="463" t="s">
        <v>546</v>
      </c>
      <c r="J49" s="500">
        <v>100000</v>
      </c>
    </row>
    <row r="50" spans="1:15" ht="13.5" customHeight="1">
      <c r="A50" s="248"/>
      <c r="B50" s="259"/>
      <c r="C50" s="68"/>
      <c r="D50" s="334" t="s">
        <v>48</v>
      </c>
      <c r="E50" s="333" t="s">
        <v>368</v>
      </c>
      <c r="F50" s="333" t="s">
        <v>108</v>
      </c>
      <c r="G50" s="333" t="s">
        <v>358</v>
      </c>
      <c r="H50" s="333" t="s">
        <v>358</v>
      </c>
      <c r="I50" s="463" t="s">
        <v>790</v>
      </c>
      <c r="J50" s="500">
        <v>2000000</v>
      </c>
    </row>
    <row r="51" spans="1:15" ht="13.5" customHeight="1">
      <c r="A51" s="248"/>
      <c r="B51" s="259"/>
      <c r="C51" s="68"/>
      <c r="D51" s="334" t="s">
        <v>48</v>
      </c>
      <c r="E51" s="333" t="s">
        <v>368</v>
      </c>
      <c r="F51" s="333" t="s">
        <v>108</v>
      </c>
      <c r="G51" s="333" t="s">
        <v>358</v>
      </c>
      <c r="H51" s="333" t="s">
        <v>361</v>
      </c>
      <c r="I51" s="463" t="s">
        <v>565</v>
      </c>
      <c r="J51" s="500">
        <v>500000</v>
      </c>
    </row>
    <row r="52" spans="1:15" ht="13.5" customHeight="1">
      <c r="A52" s="248"/>
      <c r="B52" s="259"/>
      <c r="C52" s="68"/>
      <c r="D52" s="334" t="s">
        <v>48</v>
      </c>
      <c r="E52" s="333" t="s">
        <v>368</v>
      </c>
      <c r="F52" s="333" t="s">
        <v>108</v>
      </c>
      <c r="G52" s="333" t="s">
        <v>360</v>
      </c>
      <c r="H52" s="333" t="s">
        <v>362</v>
      </c>
      <c r="I52" s="463" t="s">
        <v>1132</v>
      </c>
      <c r="J52" s="500">
        <v>250000</v>
      </c>
    </row>
    <row r="53" spans="1:15" ht="13.5" customHeight="1">
      <c r="A53" s="248"/>
      <c r="B53" s="259"/>
      <c r="C53" s="68"/>
      <c r="D53" s="334" t="s">
        <v>48</v>
      </c>
      <c r="E53" s="333" t="s">
        <v>368</v>
      </c>
      <c r="F53" s="333" t="s">
        <v>108</v>
      </c>
      <c r="G53" s="333" t="s">
        <v>361</v>
      </c>
      <c r="H53" s="333" t="s">
        <v>359</v>
      </c>
      <c r="I53" s="463" t="s">
        <v>613</v>
      </c>
      <c r="J53" s="500">
        <v>1000000</v>
      </c>
    </row>
    <row r="54" spans="1:15" ht="13.5" customHeight="1">
      <c r="A54" s="248"/>
      <c r="B54" s="259"/>
      <c r="C54" s="68"/>
      <c r="D54" s="334" t="s">
        <v>48</v>
      </c>
      <c r="E54" s="333" t="s">
        <v>368</v>
      </c>
      <c r="F54" s="333" t="s">
        <v>108</v>
      </c>
      <c r="G54" s="333" t="s">
        <v>109</v>
      </c>
      <c r="H54" s="333" t="s">
        <v>358</v>
      </c>
      <c r="I54" s="463" t="s">
        <v>1089</v>
      </c>
      <c r="J54" s="500">
        <f>+'Distribucion Programas II '!N161</f>
        <v>2000000</v>
      </c>
      <c r="K54" s="260"/>
      <c r="M54" s="120" t="e">
        <f>#N/A</f>
        <v>#N/A</v>
      </c>
    </row>
    <row r="55" spans="1:15" ht="13.5" customHeight="1">
      <c r="A55" s="248"/>
      <c r="B55" s="259"/>
      <c r="C55" s="68"/>
      <c r="D55" s="334" t="s">
        <v>48</v>
      </c>
      <c r="E55" s="333" t="s">
        <v>368</v>
      </c>
      <c r="F55" s="333" t="s">
        <v>108</v>
      </c>
      <c r="G55" s="333" t="s">
        <v>109</v>
      </c>
      <c r="H55" s="333" t="s">
        <v>360</v>
      </c>
      <c r="I55" s="463" t="s">
        <v>128</v>
      </c>
      <c r="J55" s="500">
        <f>+'Distribucion Programas II '!N163</f>
        <v>2000000</v>
      </c>
      <c r="K55" s="260"/>
      <c r="M55" s="120" t="e">
        <f>#N/A</f>
        <v>#N/A</v>
      </c>
    </row>
    <row r="56" spans="1:15" ht="13.5" customHeight="1">
      <c r="A56" s="248"/>
      <c r="B56" s="259"/>
      <c r="C56" s="68"/>
      <c r="D56" s="334" t="s">
        <v>48</v>
      </c>
      <c r="E56" s="333" t="s">
        <v>368</v>
      </c>
      <c r="F56" s="333" t="s">
        <v>120</v>
      </c>
      <c r="G56" s="333" t="s">
        <v>358</v>
      </c>
      <c r="H56" s="333" t="s">
        <v>362</v>
      </c>
      <c r="I56" s="463" t="s">
        <v>1110</v>
      </c>
      <c r="J56" s="500">
        <f>+'Distribucion Programas II '!N229</f>
        <v>1500000</v>
      </c>
      <c r="K56" s="260"/>
      <c r="M56" s="120" t="e">
        <f>#N/A</f>
        <v>#N/A</v>
      </c>
    </row>
    <row r="57" spans="1:15" ht="13.5" customHeight="1">
      <c r="A57" s="248"/>
      <c r="B57" s="259"/>
      <c r="C57" s="68"/>
      <c r="D57" s="334" t="s">
        <v>48</v>
      </c>
      <c r="E57" s="333" t="s">
        <v>368</v>
      </c>
      <c r="F57" s="333" t="s">
        <v>120</v>
      </c>
      <c r="G57" s="333" t="s">
        <v>358</v>
      </c>
      <c r="H57" s="333" t="s">
        <v>109</v>
      </c>
      <c r="I57" s="463" t="s">
        <v>1111</v>
      </c>
      <c r="J57" s="500">
        <f>+'Distribucion Programas II '!N232</f>
        <v>0</v>
      </c>
      <c r="K57" s="260"/>
      <c r="M57" s="120" t="e">
        <f>#N/A</f>
        <v>#N/A</v>
      </c>
      <c r="O57" s="120">
        <f>SUM(J28:J57)-'Distribucion Programas II '!N10</f>
        <v>-44674330.200146824</v>
      </c>
    </row>
    <row r="58" spans="1:15" ht="13.5" customHeight="1">
      <c r="A58" s="248"/>
      <c r="B58" s="259"/>
      <c r="C58" s="68"/>
      <c r="D58" s="332" t="s">
        <v>48</v>
      </c>
      <c r="E58" s="335" t="s">
        <v>369</v>
      </c>
      <c r="F58" s="406" t="s">
        <v>96</v>
      </c>
      <c r="G58" s="406" t="s">
        <v>358</v>
      </c>
      <c r="H58" s="406" t="s">
        <v>358</v>
      </c>
      <c r="I58" s="464" t="s">
        <v>95</v>
      </c>
      <c r="J58" s="500">
        <f>+'Distribucion Programas II '!O13</f>
        <v>4505327.4840125302</v>
      </c>
      <c r="K58" s="260">
        <f>SUM(J58:J69)</f>
        <v>7263875.3739063954</v>
      </c>
      <c r="M58" s="120" t="e">
        <f>#N/A</f>
        <v>#N/A</v>
      </c>
    </row>
    <row r="59" spans="1:15" ht="13.5" customHeight="1">
      <c r="A59" s="248"/>
      <c r="B59" s="259"/>
      <c r="C59" s="68"/>
      <c r="D59" s="332" t="s">
        <v>48</v>
      </c>
      <c r="E59" s="335" t="s">
        <v>369</v>
      </c>
      <c r="F59" s="406" t="s">
        <v>96</v>
      </c>
      <c r="G59" s="406" t="s">
        <v>358</v>
      </c>
      <c r="H59" s="406" t="s">
        <v>362</v>
      </c>
      <c r="I59" s="447" t="s">
        <v>442</v>
      </c>
      <c r="J59" s="500">
        <f>+'Distribucion Programas II '!O17</f>
        <v>225266.37420062651</v>
      </c>
      <c r="K59" s="260">
        <f>+'Distribucion Programas II '!O10</f>
        <v>11147916.721532103</v>
      </c>
      <c r="M59" s="120" t="e">
        <f>#N/A</f>
        <v>#N/A</v>
      </c>
    </row>
    <row r="60" spans="1:15" ht="13.5" customHeight="1">
      <c r="A60" s="248"/>
      <c r="B60" s="259"/>
      <c r="C60" s="68"/>
      <c r="D60" s="332" t="s">
        <v>48</v>
      </c>
      <c r="E60" s="335" t="s">
        <v>369</v>
      </c>
      <c r="F60" s="406" t="s">
        <v>96</v>
      </c>
      <c r="G60" s="406" t="s">
        <v>359</v>
      </c>
      <c r="H60" s="406" t="s">
        <v>358</v>
      </c>
      <c r="I60" s="447" t="s">
        <v>1107</v>
      </c>
      <c r="J60" s="500">
        <v>0</v>
      </c>
      <c r="K60" s="260"/>
      <c r="M60" s="120" t="e">
        <f>#N/A</f>
        <v>#N/A</v>
      </c>
    </row>
    <row r="61" spans="1:15" ht="13.5" customHeight="1">
      <c r="A61" s="248"/>
      <c r="B61" s="259"/>
      <c r="C61" s="68"/>
      <c r="D61" s="332" t="s">
        <v>48</v>
      </c>
      <c r="E61" s="335" t="s">
        <v>369</v>
      </c>
      <c r="F61" s="406" t="s">
        <v>96</v>
      </c>
      <c r="G61" s="406" t="s">
        <v>360</v>
      </c>
      <c r="H61" s="406" t="s">
        <v>358</v>
      </c>
      <c r="I61" s="447" t="s">
        <v>98</v>
      </c>
      <c r="J61" s="500">
        <f>+'Distribucion Programas II '!O27</f>
        <v>763495.08301209274</v>
      </c>
      <c r="K61" s="260"/>
      <c r="M61" s="120" t="e">
        <f>#N/A</f>
        <v>#N/A</v>
      </c>
    </row>
    <row r="62" spans="1:15" ht="13.5" customHeight="1">
      <c r="A62" s="248"/>
      <c r="B62" s="259"/>
      <c r="C62" s="68"/>
      <c r="D62" s="332" t="s">
        <v>48</v>
      </c>
      <c r="E62" s="335" t="s">
        <v>369</v>
      </c>
      <c r="F62" s="406" t="s">
        <v>96</v>
      </c>
      <c r="G62" s="406" t="s">
        <v>360</v>
      </c>
      <c r="H62" s="406" t="s">
        <v>360</v>
      </c>
      <c r="I62" s="465" t="s">
        <v>99</v>
      </c>
      <c r="J62" s="500">
        <f>+'Distribucion Programas II '!O29</f>
        <v>540200.90196511603</v>
      </c>
      <c r="K62" s="260"/>
      <c r="M62" s="120" t="e">
        <f>#N/A</f>
        <v>#N/A</v>
      </c>
    </row>
    <row r="63" spans="1:15" ht="13.5" customHeight="1">
      <c r="A63" s="248"/>
      <c r="B63" s="259"/>
      <c r="C63" s="68"/>
      <c r="D63" s="332" t="s">
        <v>48</v>
      </c>
      <c r="E63" s="335" t="s">
        <v>369</v>
      </c>
      <c r="F63" s="406" t="s">
        <v>96</v>
      </c>
      <c r="G63" s="406" t="s">
        <v>361</v>
      </c>
      <c r="H63" s="406" t="s">
        <v>358</v>
      </c>
      <c r="I63" s="465" t="s">
        <v>100</v>
      </c>
      <c r="J63" s="500">
        <f>+'Distribucion Programas II '!O34</f>
        <v>628513.46635982278</v>
      </c>
      <c r="K63" s="260"/>
      <c r="M63" s="120" t="e">
        <f>#N/A</f>
        <v>#N/A</v>
      </c>
    </row>
    <row r="64" spans="1:15" ht="13.5" customHeight="1">
      <c r="A64" s="248"/>
      <c r="B64" s="259"/>
      <c r="C64" s="68"/>
      <c r="D64" s="332" t="s">
        <v>48</v>
      </c>
      <c r="E64" s="335" t="s">
        <v>369</v>
      </c>
      <c r="F64" s="406" t="s">
        <v>96</v>
      </c>
      <c r="G64" s="406" t="s">
        <v>361</v>
      </c>
      <c r="H64" s="406" t="s">
        <v>362</v>
      </c>
      <c r="I64" s="465" t="s">
        <v>101</v>
      </c>
      <c r="J64" s="500">
        <f>+'Distribucion Programas II '!O38</f>
        <v>33973.704127557983</v>
      </c>
      <c r="K64" s="260"/>
      <c r="M64" s="120" t="e">
        <f>#N/A</f>
        <v>#N/A</v>
      </c>
    </row>
    <row r="65" spans="1:18" ht="13.5" customHeight="1">
      <c r="A65" s="248"/>
      <c r="B65" s="259"/>
      <c r="C65" s="68"/>
      <c r="D65" s="332" t="s">
        <v>48</v>
      </c>
      <c r="E65" s="335" t="s">
        <v>369</v>
      </c>
      <c r="F65" s="406" t="s">
        <v>96</v>
      </c>
      <c r="G65" s="406" t="s">
        <v>362</v>
      </c>
      <c r="H65" s="406" t="s">
        <v>359</v>
      </c>
      <c r="I65" s="465" t="s">
        <v>102</v>
      </c>
      <c r="J65" s="500">
        <f>+'Distribucion Programas II '!O43</f>
        <v>101921.10238267395</v>
      </c>
      <c r="K65" s="260"/>
      <c r="M65" s="120" t="e">
        <f>#N/A</f>
        <v>#N/A</v>
      </c>
    </row>
    <row r="66" spans="1:18" ht="13.5" customHeight="1">
      <c r="A66" s="248"/>
      <c r="B66" s="259"/>
      <c r="C66" s="68"/>
      <c r="D66" s="332" t="s">
        <v>48</v>
      </c>
      <c r="E66" s="335" t="s">
        <v>369</v>
      </c>
      <c r="F66" s="406" t="s">
        <v>96</v>
      </c>
      <c r="G66" s="406" t="s">
        <v>362</v>
      </c>
      <c r="H66" s="406" t="s">
        <v>360</v>
      </c>
      <c r="I66" s="465" t="s">
        <v>103</v>
      </c>
      <c r="J66" s="500">
        <f>+'Distribucion Programas II '!O44</f>
        <v>203842.20476534791</v>
      </c>
      <c r="K66" s="260"/>
      <c r="M66" s="120" t="e">
        <f>#N/A</f>
        <v>#N/A</v>
      </c>
    </row>
    <row r="67" spans="1:18" ht="13.5" customHeight="1">
      <c r="A67" s="248"/>
      <c r="B67" s="259"/>
      <c r="C67" s="68"/>
      <c r="D67" s="332" t="s">
        <v>48</v>
      </c>
      <c r="E67" s="335" t="s">
        <v>369</v>
      </c>
      <c r="F67" s="406" t="s">
        <v>104</v>
      </c>
      <c r="G67" s="452" t="s">
        <v>362</v>
      </c>
      <c r="H67" s="406" t="s">
        <v>359</v>
      </c>
      <c r="I67" s="467" t="s">
        <v>105</v>
      </c>
      <c r="J67" s="500">
        <f>+'Distribucion Programas II '!O87</f>
        <v>70000</v>
      </c>
      <c r="K67" s="260"/>
      <c r="M67" s="120" t="e">
        <f>#N/A</f>
        <v>#N/A</v>
      </c>
    </row>
    <row r="68" spans="1:18" ht="13.5" customHeight="1">
      <c r="A68" s="248"/>
      <c r="B68" s="259"/>
      <c r="C68" s="68"/>
      <c r="D68" s="332" t="s">
        <v>48</v>
      </c>
      <c r="E68" s="335" t="s">
        <v>369</v>
      </c>
      <c r="F68" s="333" t="s">
        <v>104</v>
      </c>
      <c r="G68" s="333" t="s">
        <v>363</v>
      </c>
      <c r="H68" s="333" t="s">
        <v>358</v>
      </c>
      <c r="I68" s="466" t="s">
        <v>106</v>
      </c>
      <c r="J68" s="500">
        <f>+'Distribucion Programas II '!O92</f>
        <v>71335.053080627578</v>
      </c>
      <c r="K68" s="260"/>
      <c r="M68" s="120" t="e">
        <f>#N/A</f>
        <v>#N/A</v>
      </c>
    </row>
    <row r="69" spans="1:18" ht="13.5" customHeight="1">
      <c r="A69" s="248"/>
      <c r="B69" s="259"/>
      <c r="C69" s="68"/>
      <c r="D69" s="332" t="s">
        <v>48</v>
      </c>
      <c r="E69" s="335" t="s">
        <v>369</v>
      </c>
      <c r="F69" s="333" t="s">
        <v>108</v>
      </c>
      <c r="G69" s="333" t="s">
        <v>109</v>
      </c>
      <c r="H69" s="333" t="s">
        <v>358</v>
      </c>
      <c r="I69" s="463" t="s">
        <v>1089</v>
      </c>
      <c r="J69" s="500">
        <v>120000</v>
      </c>
      <c r="K69" s="260"/>
      <c r="M69" s="120" t="e">
        <f>#N/A</f>
        <v>#N/A</v>
      </c>
      <c r="O69" s="120">
        <f>SUM(J58:J69)-'Distribucion Programas II '!O10</f>
        <v>-3884041.3476257073</v>
      </c>
    </row>
    <row r="70" spans="1:18" ht="13.5" customHeight="1">
      <c r="A70" s="248"/>
      <c r="B70" s="259"/>
      <c r="C70" s="68"/>
      <c r="D70" s="332" t="s">
        <v>48</v>
      </c>
      <c r="E70" s="335" t="s">
        <v>364</v>
      </c>
      <c r="F70" s="333" t="s">
        <v>96</v>
      </c>
      <c r="G70" s="333" t="s">
        <v>358</v>
      </c>
      <c r="H70" s="335" t="s">
        <v>358</v>
      </c>
      <c r="I70" s="466" t="s">
        <v>95</v>
      </c>
      <c r="J70" s="500">
        <f>+'Distribucion Programas II '!K7</f>
        <v>0</v>
      </c>
      <c r="K70" s="260">
        <f>+J70</f>
        <v>0</v>
      </c>
      <c r="M70" s="120" t="e">
        <f>#N/A</f>
        <v>#N/A</v>
      </c>
    </row>
    <row r="71" spans="1:18" ht="15" customHeight="1">
      <c r="A71" s="248"/>
      <c r="B71" s="259"/>
      <c r="C71" s="68"/>
      <c r="D71" s="332"/>
      <c r="E71" s="335"/>
      <c r="F71" s="333"/>
      <c r="G71" s="333"/>
      <c r="H71" s="335"/>
      <c r="I71" s="466"/>
      <c r="J71" s="500"/>
      <c r="K71" s="260"/>
      <c r="M71" s="120" t="e">
        <f>#N/A</f>
        <v>#N/A</v>
      </c>
    </row>
    <row r="72" spans="1:18" ht="8.25" customHeight="1">
      <c r="A72" s="248"/>
      <c r="B72" s="259"/>
      <c r="C72" s="68"/>
      <c r="D72" s="552"/>
      <c r="E72" s="554"/>
      <c r="F72" s="335"/>
      <c r="G72" s="335"/>
      <c r="H72" s="335"/>
      <c r="I72" s="477"/>
      <c r="J72" s="500"/>
      <c r="R72" s="120"/>
    </row>
    <row r="73" spans="1:18" ht="8.25" customHeight="1">
      <c r="A73" s="510"/>
      <c r="B73" s="511"/>
      <c r="C73" s="83"/>
      <c r="D73" s="557"/>
      <c r="E73" s="558"/>
      <c r="F73" s="559"/>
      <c r="G73" s="559"/>
      <c r="H73" s="559"/>
      <c r="I73" s="542"/>
      <c r="J73" s="560"/>
      <c r="R73" s="120"/>
    </row>
    <row r="74" spans="1:18" ht="27.75" customHeight="1">
      <c r="A74" s="508"/>
      <c r="B74" s="509"/>
      <c r="C74" s="68"/>
      <c r="D74" s="555"/>
      <c r="E74" s="553"/>
      <c r="F74" s="336"/>
      <c r="G74" s="336"/>
      <c r="H74" s="336"/>
      <c r="I74" s="541"/>
      <c r="J74" s="556"/>
      <c r="R74" s="120"/>
    </row>
    <row r="75" spans="1:18" ht="27" customHeight="1">
      <c r="A75" s="508"/>
      <c r="B75" s="509"/>
      <c r="C75" s="68"/>
      <c r="D75" s="555"/>
      <c r="E75" s="553"/>
      <c r="F75" s="336"/>
      <c r="G75" s="336"/>
      <c r="H75" s="336"/>
      <c r="I75" s="541"/>
      <c r="J75" s="556"/>
      <c r="R75" s="120"/>
    </row>
    <row r="76" spans="1:18" ht="8.25" customHeight="1">
      <c r="A76" s="508"/>
      <c r="B76" s="509"/>
      <c r="C76" s="68"/>
      <c r="D76" s="555"/>
      <c r="E76" s="553"/>
      <c r="F76" s="336"/>
      <c r="G76" s="336"/>
      <c r="H76" s="336"/>
      <c r="I76" s="541"/>
      <c r="J76" s="556"/>
      <c r="R76" s="120"/>
    </row>
    <row r="77" spans="1:18" ht="20.25" customHeight="1">
      <c r="A77" s="508"/>
      <c r="B77" s="509"/>
      <c r="C77" s="68"/>
      <c r="D77" s="555"/>
      <c r="E77" s="553"/>
      <c r="F77" s="336"/>
      <c r="G77" s="336"/>
      <c r="H77" s="336"/>
      <c r="I77" s="541"/>
      <c r="J77" s="394">
        <v>6</v>
      </c>
      <c r="R77" s="120"/>
    </row>
    <row r="78" spans="1:18" ht="24.75" customHeight="1">
      <c r="A78" s="512"/>
      <c r="B78" s="513"/>
      <c r="C78" s="84"/>
      <c r="D78" s="561"/>
      <c r="E78" s="562"/>
      <c r="F78" s="337"/>
      <c r="G78" s="337"/>
      <c r="H78" s="337"/>
      <c r="I78" s="480"/>
      <c r="J78" s="563"/>
      <c r="R78" s="120"/>
    </row>
    <row r="79" spans="1:18" ht="25.5">
      <c r="A79" s="4" t="s">
        <v>954</v>
      </c>
      <c r="B79" s="245" t="s">
        <v>955</v>
      </c>
      <c r="C79" s="72">
        <f>+'Ingreso Contraloría'!C12</f>
        <v>17000000</v>
      </c>
      <c r="D79" s="255" t="s">
        <v>433</v>
      </c>
      <c r="E79" s="253" t="s">
        <v>358</v>
      </c>
      <c r="F79" s="333">
        <v>0</v>
      </c>
      <c r="G79" s="333" t="s">
        <v>358</v>
      </c>
      <c r="H79" s="333" t="s">
        <v>358</v>
      </c>
      <c r="I79" s="466" t="s">
        <v>95</v>
      </c>
      <c r="J79" s="501">
        <f>+C79</f>
        <v>17000000</v>
      </c>
      <c r="L79" s="120">
        <f>+J79</f>
        <v>17000000</v>
      </c>
    </row>
    <row r="80" spans="1:18" ht="25.5">
      <c r="A80" s="493" t="s">
        <v>913</v>
      </c>
      <c r="B80" s="258" t="s">
        <v>923</v>
      </c>
      <c r="C80" s="70">
        <v>20000</v>
      </c>
      <c r="D80" s="494" t="s">
        <v>433</v>
      </c>
      <c r="E80" s="495" t="s">
        <v>358</v>
      </c>
      <c r="F80" s="330">
        <v>0</v>
      </c>
      <c r="G80" s="330" t="s">
        <v>358</v>
      </c>
      <c r="H80" s="330" t="s">
        <v>358</v>
      </c>
      <c r="I80" s="462" t="s">
        <v>95</v>
      </c>
      <c r="J80" s="498">
        <f>+C80</f>
        <v>20000</v>
      </c>
      <c r="L80" s="120">
        <f>+J80</f>
        <v>20000</v>
      </c>
    </row>
    <row r="81" spans="1:15" ht="25.5">
      <c r="A81" s="246" t="s">
        <v>918</v>
      </c>
      <c r="B81" s="258" t="s">
        <v>927</v>
      </c>
      <c r="C81" s="83">
        <v>6000000</v>
      </c>
      <c r="D81" s="456" t="s">
        <v>48</v>
      </c>
      <c r="E81" s="454" t="s">
        <v>1090</v>
      </c>
      <c r="F81" s="404" t="s">
        <v>104</v>
      </c>
      <c r="G81" s="454" t="s">
        <v>359</v>
      </c>
      <c r="H81" s="404" t="s">
        <v>109</v>
      </c>
      <c r="I81" s="459" t="s">
        <v>1133</v>
      </c>
      <c r="J81" s="496">
        <v>6000000</v>
      </c>
      <c r="K81" s="260">
        <f>+C81</f>
        <v>6000000</v>
      </c>
      <c r="M81" s="120">
        <f>+J81</f>
        <v>6000000</v>
      </c>
    </row>
    <row r="82" spans="1:15" ht="3.75" customHeight="1">
      <c r="A82" s="249"/>
      <c r="B82" s="245">
        <v>0</v>
      </c>
      <c r="C82" s="84"/>
      <c r="D82" s="458"/>
      <c r="E82" s="449"/>
      <c r="F82" s="450"/>
      <c r="G82" s="449"/>
      <c r="H82" s="450"/>
      <c r="I82" s="488"/>
      <c r="J82" s="502"/>
      <c r="K82" s="260"/>
    </row>
    <row r="83" spans="1:15" ht="25.5">
      <c r="A83" s="3" t="s">
        <v>25</v>
      </c>
      <c r="B83" s="259" t="s">
        <v>26</v>
      </c>
      <c r="C83" s="277">
        <f>+'Ingreso Contraloría'!C21</f>
        <v>12000000</v>
      </c>
      <c r="D83" s="470" t="s">
        <v>433</v>
      </c>
      <c r="E83" s="406" t="s">
        <v>358</v>
      </c>
      <c r="F83" s="338">
        <v>0</v>
      </c>
      <c r="G83" s="338" t="s">
        <v>358</v>
      </c>
      <c r="H83" s="338" t="s">
        <v>358</v>
      </c>
      <c r="I83" s="471" t="s">
        <v>95</v>
      </c>
      <c r="J83" s="500">
        <f>+C83</f>
        <v>12000000</v>
      </c>
      <c r="L83" s="120">
        <f>+J83</f>
        <v>12000000</v>
      </c>
    </row>
    <row r="84" spans="1:15" ht="38.25">
      <c r="A84" s="246" t="s">
        <v>935</v>
      </c>
      <c r="B84" s="258" t="s">
        <v>432</v>
      </c>
      <c r="C84" s="70">
        <v>2250000</v>
      </c>
      <c r="D84" s="472" t="s">
        <v>48</v>
      </c>
      <c r="E84" s="454" t="s">
        <v>365</v>
      </c>
      <c r="F84" s="452" t="s">
        <v>108</v>
      </c>
      <c r="G84" s="454" t="s">
        <v>109</v>
      </c>
      <c r="H84" s="452" t="s">
        <v>109</v>
      </c>
      <c r="I84" s="473" t="s">
        <v>566</v>
      </c>
      <c r="J84" s="527">
        <v>200000</v>
      </c>
      <c r="K84" s="260">
        <f>+C84</f>
        <v>2250000</v>
      </c>
      <c r="M84" s="120">
        <f>+J84</f>
        <v>200000</v>
      </c>
    </row>
    <row r="85" spans="1:15" ht="12.75">
      <c r="A85" s="248"/>
      <c r="B85" s="259"/>
      <c r="C85" s="277"/>
      <c r="D85" s="472" t="s">
        <v>48</v>
      </c>
      <c r="E85" s="454" t="s">
        <v>365</v>
      </c>
      <c r="F85" s="452" t="s">
        <v>104</v>
      </c>
      <c r="G85" s="406" t="s">
        <v>360</v>
      </c>
      <c r="H85" s="452" t="s">
        <v>361</v>
      </c>
      <c r="I85" s="474" t="s">
        <v>679</v>
      </c>
      <c r="J85" s="503">
        <v>150000</v>
      </c>
      <c r="K85" s="260">
        <f>SUM(J84:J88)</f>
        <v>2250000</v>
      </c>
      <c r="M85" s="120">
        <f>+J85</f>
        <v>150000</v>
      </c>
    </row>
    <row r="86" spans="1:15" ht="12.75">
      <c r="A86" s="248"/>
      <c r="B86" s="259"/>
      <c r="C86" s="277"/>
      <c r="D86" s="475" t="s">
        <v>48</v>
      </c>
      <c r="E86" s="406" t="s">
        <v>365</v>
      </c>
      <c r="F86" s="452" t="s">
        <v>108</v>
      </c>
      <c r="G86" s="406" t="s">
        <v>358</v>
      </c>
      <c r="H86" s="452" t="s">
        <v>358</v>
      </c>
      <c r="I86" s="474" t="s">
        <v>790</v>
      </c>
      <c r="J86" s="503">
        <v>150000</v>
      </c>
      <c r="K86" s="260">
        <f>+K84-K85</f>
        <v>0</v>
      </c>
      <c r="M86" s="120">
        <f>+J86</f>
        <v>150000</v>
      </c>
    </row>
    <row r="87" spans="1:15" ht="12.75">
      <c r="A87" s="248"/>
      <c r="B87" s="259"/>
      <c r="C87" s="277"/>
      <c r="D87" s="475" t="s">
        <v>48</v>
      </c>
      <c r="E87" s="406" t="s">
        <v>365</v>
      </c>
      <c r="F87" s="452" t="s">
        <v>108</v>
      </c>
      <c r="G87" s="406" t="s">
        <v>359</v>
      </c>
      <c r="H87" s="452" t="s">
        <v>360</v>
      </c>
      <c r="I87" s="474" t="s">
        <v>895</v>
      </c>
      <c r="J87" s="503">
        <v>250000</v>
      </c>
      <c r="K87" s="260"/>
      <c r="M87" s="120">
        <f>+J87</f>
        <v>250000</v>
      </c>
    </row>
    <row r="88" spans="1:15" ht="12.75">
      <c r="A88" s="248"/>
      <c r="B88" s="259"/>
      <c r="C88" s="277"/>
      <c r="D88" s="476" t="s">
        <v>433</v>
      </c>
      <c r="E88" s="449" t="s">
        <v>358</v>
      </c>
      <c r="F88" s="337">
        <v>0</v>
      </c>
      <c r="G88" s="338" t="s">
        <v>358</v>
      </c>
      <c r="H88" s="337" t="s">
        <v>358</v>
      </c>
      <c r="I88" s="471" t="s">
        <v>95</v>
      </c>
      <c r="J88" s="503">
        <v>1500000</v>
      </c>
      <c r="K88" s="260"/>
      <c r="L88" s="120">
        <f>+J88</f>
        <v>1500000</v>
      </c>
    </row>
    <row r="89" spans="1:15" ht="38.25">
      <c r="A89" s="246" t="s">
        <v>951</v>
      </c>
      <c r="B89" s="258" t="s">
        <v>953</v>
      </c>
      <c r="C89" s="83">
        <f>+'Ingreso Contraloría'!C28</f>
        <v>125245000</v>
      </c>
      <c r="D89" s="461" t="s">
        <v>433</v>
      </c>
      <c r="E89" s="454" t="s">
        <v>358</v>
      </c>
      <c r="F89" s="454">
        <v>0</v>
      </c>
      <c r="G89" s="336" t="s">
        <v>358</v>
      </c>
      <c r="H89" s="330" t="s">
        <v>358</v>
      </c>
      <c r="I89" s="462" t="s">
        <v>95</v>
      </c>
      <c r="J89" s="496">
        <v>26057635.440000001</v>
      </c>
      <c r="K89" s="260">
        <f>+C89</f>
        <v>125245000</v>
      </c>
      <c r="L89" s="120">
        <f>+J89</f>
        <v>26057635.440000001</v>
      </c>
    </row>
    <row r="90" spans="1:15" ht="12.75">
      <c r="A90" s="248"/>
      <c r="B90" s="259"/>
      <c r="C90" s="68"/>
      <c r="D90" s="461" t="s">
        <v>433</v>
      </c>
      <c r="E90" s="406" t="s">
        <v>358</v>
      </c>
      <c r="F90" s="406">
        <v>0</v>
      </c>
      <c r="G90" s="336" t="s">
        <v>358</v>
      </c>
      <c r="H90" s="333" t="s">
        <v>362</v>
      </c>
      <c r="I90" s="466" t="s">
        <v>442</v>
      </c>
      <c r="J90" s="504">
        <f>+'Distribucion Programas I'!C15</f>
        <v>6641482.8509759838</v>
      </c>
      <c r="K90" s="260" t="e">
        <f>SUM(J89:J97)</f>
        <v>#REF!</v>
      </c>
      <c r="L90" s="120" t="e">
        <f>#N/A</f>
        <v>#N/A</v>
      </c>
      <c r="N90" s="120">
        <f>+'Distribucion Programas I'!C11</f>
        <v>136688213.69398576</v>
      </c>
      <c r="O90" s="120">
        <f>74135544.64-J9-J79-J80-J83-J88-J89</f>
        <v>-19242090.800000001</v>
      </c>
    </row>
    <row r="91" spans="1:15" ht="12.75">
      <c r="A91" s="248"/>
      <c r="B91" s="259"/>
      <c r="C91" s="68"/>
      <c r="D91" s="461" t="s">
        <v>433</v>
      </c>
      <c r="E91" s="406" t="s">
        <v>358</v>
      </c>
      <c r="F91" s="406" t="s">
        <v>96</v>
      </c>
      <c r="G91" s="336" t="s">
        <v>358</v>
      </c>
      <c r="H91" s="333" t="s">
        <v>360</v>
      </c>
      <c r="I91" s="466" t="s">
        <v>1095</v>
      </c>
      <c r="J91" s="504">
        <f>+'Distribucion Programas I'!C13</f>
        <v>0</v>
      </c>
      <c r="K91" s="260"/>
    </row>
    <row r="92" spans="1:15" ht="12.75">
      <c r="A92" s="248"/>
      <c r="B92" s="259"/>
      <c r="C92" s="68"/>
      <c r="D92" s="461" t="s">
        <v>433</v>
      </c>
      <c r="E92" s="406" t="s">
        <v>358</v>
      </c>
      <c r="F92" s="406">
        <v>0</v>
      </c>
      <c r="G92" s="336" t="s">
        <v>359</v>
      </c>
      <c r="H92" s="333" t="s">
        <v>362</v>
      </c>
      <c r="I92" s="466" t="s">
        <v>906</v>
      </c>
      <c r="J92" s="504">
        <f>+'Distribucion Programas I'!C22</f>
        <v>15504000</v>
      </c>
      <c r="K92" s="260" t="e">
        <f>+K89-K90</f>
        <v>#REF!</v>
      </c>
      <c r="L92" s="120" t="e">
        <f>#N/A</f>
        <v>#N/A</v>
      </c>
      <c r="N92" s="120">
        <f>+J9-J79-J80-J83-J88</f>
        <v>6280000</v>
      </c>
    </row>
    <row r="93" spans="1:15" ht="12.75">
      <c r="A93" s="248"/>
      <c r="B93" s="259"/>
      <c r="C93" s="68"/>
      <c r="D93" s="461" t="s">
        <v>433</v>
      </c>
      <c r="E93" s="452" t="s">
        <v>358</v>
      </c>
      <c r="F93" s="406" t="s">
        <v>96</v>
      </c>
      <c r="G93" s="336" t="s">
        <v>360</v>
      </c>
      <c r="H93" s="333" t="s">
        <v>358</v>
      </c>
      <c r="I93" s="466" t="s">
        <v>98</v>
      </c>
      <c r="J93" s="504">
        <f>+'Distribucion Programas I'!C25</f>
        <v>38706838.812658623</v>
      </c>
      <c r="K93" s="260"/>
      <c r="L93" s="120" t="e">
        <f>#N/A</f>
        <v>#N/A</v>
      </c>
      <c r="N93" s="120">
        <f>+J9+J79+J80+J83+J88</f>
        <v>67320000</v>
      </c>
    </row>
    <row r="94" spans="1:15" ht="12.75">
      <c r="A94" s="248"/>
      <c r="B94" s="259"/>
      <c r="C94" s="68"/>
      <c r="D94" s="461" t="s">
        <v>433</v>
      </c>
      <c r="E94" s="405" t="s">
        <v>358</v>
      </c>
      <c r="F94" s="405" t="s">
        <v>96</v>
      </c>
      <c r="G94" s="333" t="s">
        <v>360</v>
      </c>
      <c r="H94" s="335" t="s">
        <v>360</v>
      </c>
      <c r="I94" s="477" t="s">
        <v>686</v>
      </c>
      <c r="J94" s="505">
        <v>7372192.8799999999</v>
      </c>
      <c r="K94" s="260"/>
      <c r="L94" s="120" t="e">
        <f>#N/A</f>
        <v>#N/A</v>
      </c>
      <c r="N94" s="120">
        <f>+N90-N93</f>
        <v>69368213.69398576</v>
      </c>
    </row>
    <row r="95" spans="1:15" ht="12.75">
      <c r="A95" s="248"/>
      <c r="B95" s="259"/>
      <c r="C95" s="68"/>
      <c r="D95" s="461" t="s">
        <v>433</v>
      </c>
      <c r="E95" s="452" t="s">
        <v>358</v>
      </c>
      <c r="F95" s="405" t="s">
        <v>96</v>
      </c>
      <c r="G95" s="333" t="s">
        <v>360</v>
      </c>
      <c r="H95" s="335" t="s">
        <v>109</v>
      </c>
      <c r="I95" s="465" t="s">
        <v>1112</v>
      </c>
      <c r="J95" s="505">
        <v>0</v>
      </c>
      <c r="K95" s="260"/>
      <c r="L95" s="120" t="e">
        <f>#N/A</f>
        <v>#N/A</v>
      </c>
    </row>
    <row r="96" spans="1:15" ht="12.75">
      <c r="A96" s="248"/>
      <c r="B96" s="259"/>
      <c r="C96" s="68"/>
      <c r="D96" s="461" t="s">
        <v>433</v>
      </c>
      <c r="E96" s="452" t="s">
        <v>358</v>
      </c>
      <c r="F96" s="406" t="s">
        <v>96</v>
      </c>
      <c r="G96" s="406" t="s">
        <v>361</v>
      </c>
      <c r="H96" s="406" t="s">
        <v>358</v>
      </c>
      <c r="I96" s="465" t="s">
        <v>100</v>
      </c>
      <c r="J96" s="505">
        <v>0</v>
      </c>
      <c r="K96" s="260"/>
      <c r="L96" s="120" t="e">
        <f>#N/A</f>
        <v>#N/A</v>
      </c>
    </row>
    <row r="97" spans="1:13" ht="12.75">
      <c r="A97" s="249"/>
      <c r="B97" s="245"/>
      <c r="C97" s="84"/>
      <c r="D97" s="481" t="s">
        <v>49</v>
      </c>
      <c r="E97" s="449" t="s">
        <v>364</v>
      </c>
      <c r="F97" s="484" t="s">
        <v>120</v>
      </c>
      <c r="G97" s="338" t="s">
        <v>359</v>
      </c>
      <c r="H97" s="397" t="s">
        <v>358</v>
      </c>
      <c r="I97" s="488" t="s">
        <v>760</v>
      </c>
      <c r="J97" s="501" t="e">
        <f>+'Distrib Programas III Poyectos'!#REF!-'Origen y Aplicacion de Recursos'!J316</f>
        <v>#REF!</v>
      </c>
      <c r="K97" s="260"/>
      <c r="L97" s="120" t="e">
        <f>#N/A</f>
        <v>#N/A</v>
      </c>
    </row>
    <row r="98" spans="1:13" ht="12.75">
      <c r="A98" s="3" t="s">
        <v>959</v>
      </c>
      <c r="B98" s="259" t="s">
        <v>419</v>
      </c>
      <c r="C98" s="277">
        <v>400000</v>
      </c>
      <c r="D98" s="255" t="s">
        <v>433</v>
      </c>
      <c r="E98" s="253" t="s">
        <v>361</v>
      </c>
      <c r="F98" s="333"/>
      <c r="G98" s="333"/>
      <c r="H98" s="333"/>
      <c r="I98" s="466" t="s">
        <v>413</v>
      </c>
      <c r="J98" s="505">
        <v>148000</v>
      </c>
      <c r="K98" s="260">
        <f>+C98</f>
        <v>400000</v>
      </c>
      <c r="L98" s="120" t="e">
        <f>#N/A</f>
        <v>#N/A</v>
      </c>
    </row>
    <row r="99" spans="1:13" ht="12.75">
      <c r="A99" s="249"/>
      <c r="B99" s="245"/>
      <c r="C99" s="531"/>
      <c r="D99" s="396" t="s">
        <v>684</v>
      </c>
      <c r="E99" s="535" t="s">
        <v>685</v>
      </c>
      <c r="F99" s="536" t="s">
        <v>108</v>
      </c>
      <c r="G99" s="338" t="s">
        <v>359</v>
      </c>
      <c r="H99" s="338" t="s">
        <v>359</v>
      </c>
      <c r="I99" s="471" t="s">
        <v>587</v>
      </c>
      <c r="J99" s="501">
        <v>252000</v>
      </c>
      <c r="K99" s="260">
        <f>+J98+J99</f>
        <v>400000</v>
      </c>
      <c r="M99" s="120">
        <f>+J99</f>
        <v>252000</v>
      </c>
    </row>
    <row r="100" spans="1:13" ht="4.5" customHeight="1">
      <c r="A100" s="248"/>
      <c r="B100" s="259"/>
      <c r="C100" s="331"/>
      <c r="D100" s="461"/>
      <c r="E100" s="406"/>
      <c r="F100" s="406"/>
      <c r="G100" s="406"/>
      <c r="H100" s="406"/>
      <c r="I100" s="406"/>
      <c r="J100" s="406"/>
      <c r="K100" s="260">
        <f>+K98-K99</f>
        <v>0</v>
      </c>
    </row>
    <row r="101" spans="1:13" ht="4.5" customHeight="1">
      <c r="A101" s="508"/>
      <c r="B101" s="509"/>
      <c r="C101" s="68"/>
      <c r="D101" s="451"/>
      <c r="E101" s="452"/>
      <c r="F101" s="452"/>
      <c r="G101" s="452"/>
      <c r="H101" s="452"/>
      <c r="I101" s="452"/>
      <c r="J101" s="452"/>
      <c r="K101" s="260"/>
    </row>
    <row r="102" spans="1:13" ht="25.5">
      <c r="A102" s="248" t="s">
        <v>985</v>
      </c>
      <c r="B102" s="259" t="s">
        <v>986</v>
      </c>
      <c r="C102" s="68">
        <f>+'Ingreso Contraloría'!C36</f>
        <v>4750000</v>
      </c>
      <c r="D102" s="461" t="s">
        <v>48</v>
      </c>
      <c r="E102" s="406" t="s">
        <v>367</v>
      </c>
      <c r="F102" s="406" t="s">
        <v>96</v>
      </c>
      <c r="G102" s="406" t="s">
        <v>358</v>
      </c>
      <c r="H102" s="406" t="s">
        <v>358</v>
      </c>
      <c r="I102" s="447" t="s">
        <v>95</v>
      </c>
      <c r="J102" s="499">
        <v>10099127.52</v>
      </c>
      <c r="K102" s="260">
        <f>+C102</f>
        <v>4750000</v>
      </c>
      <c r="M102" s="120">
        <f>+J102</f>
        <v>10099127.52</v>
      </c>
    </row>
    <row r="103" spans="1:13" ht="12.75">
      <c r="A103" s="248"/>
      <c r="B103" s="259"/>
      <c r="C103" s="68"/>
      <c r="D103" s="461" t="s">
        <v>48</v>
      </c>
      <c r="E103" s="406" t="s">
        <v>367</v>
      </c>
      <c r="F103" s="406" t="s">
        <v>96</v>
      </c>
      <c r="G103" s="406" t="s">
        <v>358</v>
      </c>
      <c r="H103" s="406" t="s">
        <v>359</v>
      </c>
      <c r="I103" s="447" t="s">
        <v>97</v>
      </c>
      <c r="J103" s="500"/>
      <c r="K103" s="260">
        <f>SUM(J102:J151)</f>
        <v>43000007</v>
      </c>
      <c r="M103" s="120" t="e">
        <f>#N/A</f>
        <v>#N/A</v>
      </c>
    </row>
    <row r="104" spans="1:13" ht="12.75">
      <c r="A104" s="248"/>
      <c r="B104" s="259"/>
      <c r="C104" s="68"/>
      <c r="D104" s="461" t="s">
        <v>48</v>
      </c>
      <c r="E104" s="406" t="s">
        <v>367</v>
      </c>
      <c r="F104" s="406" t="s">
        <v>96</v>
      </c>
      <c r="G104" s="406" t="s">
        <v>358</v>
      </c>
      <c r="H104" s="406" t="s">
        <v>362</v>
      </c>
      <c r="I104" s="447" t="s">
        <v>442</v>
      </c>
      <c r="J104" s="500">
        <v>1262390.94</v>
      </c>
      <c r="K104" s="260">
        <f>+K102-K103</f>
        <v>-38250007</v>
      </c>
      <c r="M104" s="120" t="e">
        <f>#N/A</f>
        <v>#N/A</v>
      </c>
    </row>
    <row r="105" spans="1:13" ht="12.75">
      <c r="A105" s="248"/>
      <c r="B105" s="259"/>
      <c r="C105" s="68"/>
      <c r="D105" s="461" t="s">
        <v>48</v>
      </c>
      <c r="E105" s="406" t="s">
        <v>367</v>
      </c>
      <c r="F105" s="406" t="s">
        <v>96</v>
      </c>
      <c r="G105" s="406" t="s">
        <v>360</v>
      </c>
      <c r="H105" s="406" t="s">
        <v>358</v>
      </c>
      <c r="I105" s="447" t="s">
        <v>98</v>
      </c>
      <c r="J105" s="500">
        <v>4886769.46</v>
      </c>
      <c r="K105" s="260"/>
      <c r="M105" s="120" t="e">
        <f>#N/A</f>
        <v>#N/A</v>
      </c>
    </row>
    <row r="106" spans="1:13" ht="12.75">
      <c r="A106" s="248"/>
      <c r="B106" s="259"/>
      <c r="C106" s="68"/>
      <c r="D106" s="461" t="s">
        <v>48</v>
      </c>
      <c r="E106" s="406" t="s">
        <v>367</v>
      </c>
      <c r="F106" s="406" t="s">
        <v>96</v>
      </c>
      <c r="G106" s="406" t="s">
        <v>360</v>
      </c>
      <c r="H106" s="406" t="s">
        <v>360</v>
      </c>
      <c r="I106" s="465" t="s">
        <v>99</v>
      </c>
      <c r="J106" s="504">
        <v>1354023.99</v>
      </c>
      <c r="K106" s="260"/>
      <c r="M106" s="120" t="e">
        <f>#N/A</f>
        <v>#N/A</v>
      </c>
    </row>
    <row r="107" spans="1:13" ht="12.75">
      <c r="A107" s="248"/>
      <c r="B107" s="259"/>
      <c r="C107" s="68"/>
      <c r="D107" s="461" t="s">
        <v>48</v>
      </c>
      <c r="E107" s="406" t="s">
        <v>367</v>
      </c>
      <c r="F107" s="406" t="s">
        <v>96</v>
      </c>
      <c r="G107" s="406" t="s">
        <v>360</v>
      </c>
      <c r="H107" s="406" t="s">
        <v>361</v>
      </c>
      <c r="I107" s="465" t="s">
        <v>1075</v>
      </c>
      <c r="J107" s="504"/>
      <c r="K107" s="260"/>
      <c r="M107" s="120" t="e">
        <f>#N/A</f>
        <v>#N/A</v>
      </c>
    </row>
    <row r="108" spans="1:13" ht="12.75">
      <c r="A108" s="248"/>
      <c r="B108" s="259"/>
      <c r="C108" s="68"/>
      <c r="D108" s="461" t="s">
        <v>48</v>
      </c>
      <c r="E108" s="406" t="s">
        <v>367</v>
      </c>
      <c r="F108" s="406" t="s">
        <v>96</v>
      </c>
      <c r="G108" s="406" t="s">
        <v>361</v>
      </c>
      <c r="H108" s="406" t="s">
        <v>358</v>
      </c>
      <c r="I108" s="465" t="s">
        <v>100</v>
      </c>
      <c r="J108" s="504">
        <v>2274760.31</v>
      </c>
      <c r="K108" s="260"/>
      <c r="M108" s="120" t="e">
        <f>#N/A</f>
        <v>#N/A</v>
      </c>
    </row>
    <row r="109" spans="1:13" ht="12.75">
      <c r="A109" s="248"/>
      <c r="B109" s="259"/>
      <c r="C109" s="68"/>
      <c r="D109" s="461" t="s">
        <v>48</v>
      </c>
      <c r="E109" s="406" t="s">
        <v>367</v>
      </c>
      <c r="F109" s="406" t="s">
        <v>96</v>
      </c>
      <c r="G109" s="406" t="s">
        <v>361</v>
      </c>
      <c r="H109" s="406" t="s">
        <v>362</v>
      </c>
      <c r="I109" s="465" t="s">
        <v>101</v>
      </c>
      <c r="J109" s="504">
        <v>81241.440000000002</v>
      </c>
      <c r="K109" s="260"/>
      <c r="M109" s="120" t="e">
        <f>#N/A</f>
        <v>#N/A</v>
      </c>
    </row>
    <row r="110" spans="1:13" ht="12.75">
      <c r="A110" s="248"/>
      <c r="B110" s="259"/>
      <c r="C110" s="68"/>
      <c r="D110" s="461" t="s">
        <v>48</v>
      </c>
      <c r="E110" s="406" t="s">
        <v>367</v>
      </c>
      <c r="F110" s="406" t="s">
        <v>96</v>
      </c>
      <c r="G110" s="406" t="s">
        <v>362</v>
      </c>
      <c r="H110" s="406" t="s">
        <v>359</v>
      </c>
      <c r="I110" s="465" t="s">
        <v>102</v>
      </c>
      <c r="J110" s="504">
        <v>243724.32</v>
      </c>
      <c r="K110" s="260"/>
      <c r="M110" s="120" t="e">
        <f>#N/A</f>
        <v>#N/A</v>
      </c>
    </row>
    <row r="111" spans="1:13" ht="12.75">
      <c r="A111" s="248"/>
      <c r="B111" s="259"/>
      <c r="C111" s="68"/>
      <c r="D111" s="461" t="s">
        <v>48</v>
      </c>
      <c r="E111" s="406" t="s">
        <v>367</v>
      </c>
      <c r="F111" s="406" t="s">
        <v>96</v>
      </c>
      <c r="G111" s="406" t="s">
        <v>362</v>
      </c>
      <c r="H111" s="406" t="s">
        <v>360</v>
      </c>
      <c r="I111" s="465" t="s">
        <v>103</v>
      </c>
      <c r="J111" s="505">
        <v>487448.64</v>
      </c>
      <c r="K111" s="260"/>
      <c r="M111" s="120" t="e">
        <f>#N/A</f>
        <v>#N/A</v>
      </c>
    </row>
    <row r="112" spans="1:13" ht="22.5">
      <c r="A112" s="248"/>
      <c r="B112" s="259"/>
      <c r="C112" s="68"/>
      <c r="D112" s="461" t="s">
        <v>48</v>
      </c>
      <c r="E112" s="406" t="s">
        <v>367</v>
      </c>
      <c r="F112" s="406" t="s">
        <v>104</v>
      </c>
      <c r="G112" s="452" t="s">
        <v>358</v>
      </c>
      <c r="H112" s="406" t="s">
        <v>359</v>
      </c>
      <c r="I112" s="447" t="s">
        <v>567</v>
      </c>
      <c r="J112" s="505">
        <v>3000000</v>
      </c>
      <c r="K112" s="260"/>
      <c r="M112" s="120" t="e">
        <f>#N/A</f>
        <v>#N/A</v>
      </c>
    </row>
    <row r="113" spans="1:13" ht="12.75">
      <c r="A113" s="248"/>
      <c r="B113" s="259"/>
      <c r="C113" s="68"/>
      <c r="D113" s="461" t="s">
        <v>48</v>
      </c>
      <c r="E113" s="406" t="s">
        <v>367</v>
      </c>
      <c r="F113" s="406" t="s">
        <v>104</v>
      </c>
      <c r="G113" s="452" t="s">
        <v>359</v>
      </c>
      <c r="H113" s="406" t="s">
        <v>358</v>
      </c>
      <c r="I113" s="465" t="s">
        <v>112</v>
      </c>
      <c r="J113" s="505">
        <v>140000</v>
      </c>
      <c r="K113" s="260"/>
      <c r="M113" s="120" t="e">
        <f>#N/A</f>
        <v>#N/A</v>
      </c>
    </row>
    <row r="114" spans="1:13" ht="12.75">
      <c r="A114" s="248"/>
      <c r="B114" s="259"/>
      <c r="C114" s="68"/>
      <c r="D114" s="461" t="s">
        <v>48</v>
      </c>
      <c r="E114" s="406" t="s">
        <v>367</v>
      </c>
      <c r="F114" s="406" t="s">
        <v>104</v>
      </c>
      <c r="G114" s="452" t="s">
        <v>359</v>
      </c>
      <c r="H114" s="406" t="s">
        <v>359</v>
      </c>
      <c r="I114" s="465" t="s">
        <v>113</v>
      </c>
      <c r="J114" s="505">
        <v>105621.81</v>
      </c>
      <c r="K114" s="260"/>
      <c r="M114" s="120" t="e">
        <f>#N/A</f>
        <v>#N/A</v>
      </c>
    </row>
    <row r="115" spans="1:13" ht="12.75">
      <c r="A115" s="248"/>
      <c r="B115" s="259"/>
      <c r="C115" s="68"/>
      <c r="D115" s="461" t="s">
        <v>48</v>
      </c>
      <c r="E115" s="406" t="s">
        <v>367</v>
      </c>
      <c r="F115" s="406" t="s">
        <v>104</v>
      </c>
      <c r="G115" s="452" t="s">
        <v>359</v>
      </c>
      <c r="H115" s="406" t="s">
        <v>361</v>
      </c>
      <c r="I115" s="465" t="s">
        <v>114</v>
      </c>
      <c r="J115" s="505">
        <v>50000</v>
      </c>
      <c r="K115" s="260"/>
      <c r="M115" s="120" t="e">
        <f>#N/A</f>
        <v>#N/A</v>
      </c>
    </row>
    <row r="116" spans="1:13" ht="12.75">
      <c r="A116" s="248"/>
      <c r="B116" s="259"/>
      <c r="C116" s="68"/>
      <c r="D116" s="461" t="s">
        <v>48</v>
      </c>
      <c r="E116" s="406" t="s">
        <v>367</v>
      </c>
      <c r="F116" s="406" t="s">
        <v>104</v>
      </c>
      <c r="G116" s="452" t="s">
        <v>360</v>
      </c>
      <c r="H116" s="406" t="s">
        <v>360</v>
      </c>
      <c r="I116" s="465" t="s">
        <v>115</v>
      </c>
      <c r="J116" s="505">
        <v>700000</v>
      </c>
      <c r="K116" s="260"/>
      <c r="M116" s="120" t="e">
        <f>#N/A</f>
        <v>#N/A</v>
      </c>
    </row>
    <row r="117" spans="1:13" ht="12.75">
      <c r="A117" s="248"/>
      <c r="B117" s="259"/>
      <c r="C117" s="68"/>
      <c r="D117" s="461" t="s">
        <v>48</v>
      </c>
      <c r="E117" s="406" t="s">
        <v>367</v>
      </c>
      <c r="F117" s="406" t="s">
        <v>104</v>
      </c>
      <c r="G117" s="452" t="s">
        <v>360</v>
      </c>
      <c r="H117" s="406" t="s">
        <v>361</v>
      </c>
      <c r="I117" s="465" t="s">
        <v>478</v>
      </c>
      <c r="J117" s="505">
        <v>766206.34</v>
      </c>
      <c r="K117" s="260"/>
      <c r="M117" s="120" t="e">
        <f>#N/A</f>
        <v>#N/A</v>
      </c>
    </row>
    <row r="118" spans="1:13" ht="12.75">
      <c r="A118" s="248"/>
      <c r="B118" s="259"/>
      <c r="C118" s="68"/>
      <c r="D118" s="461" t="s">
        <v>48</v>
      </c>
      <c r="E118" s="406" t="s">
        <v>367</v>
      </c>
      <c r="F118" s="405" t="s">
        <v>104</v>
      </c>
      <c r="G118" s="405" t="s">
        <v>363</v>
      </c>
      <c r="H118" s="405" t="s">
        <v>358</v>
      </c>
      <c r="I118" s="447" t="s">
        <v>106</v>
      </c>
      <c r="J118" s="505">
        <v>487448.64</v>
      </c>
      <c r="K118" s="260"/>
      <c r="M118" s="120" t="e">
        <f>#N/A</f>
        <v>#N/A</v>
      </c>
    </row>
    <row r="119" spans="1:13" ht="12.75">
      <c r="A119" s="248"/>
      <c r="B119" s="259"/>
      <c r="C119" s="68"/>
      <c r="D119" s="461" t="s">
        <v>48</v>
      </c>
      <c r="E119" s="406" t="s">
        <v>367</v>
      </c>
      <c r="F119" s="405" t="s">
        <v>104</v>
      </c>
      <c r="G119" s="405" t="s">
        <v>107</v>
      </c>
      <c r="H119" s="405" t="s">
        <v>358</v>
      </c>
      <c r="I119" s="447" t="s">
        <v>117</v>
      </c>
      <c r="J119" s="505">
        <v>500000</v>
      </c>
      <c r="K119" s="260"/>
      <c r="M119" s="120" t="e">
        <f>#N/A</f>
        <v>#N/A</v>
      </c>
    </row>
    <row r="120" spans="1:13" ht="12.75">
      <c r="A120" s="248"/>
      <c r="B120" s="259"/>
      <c r="C120" s="68"/>
      <c r="D120" s="461" t="s">
        <v>48</v>
      </c>
      <c r="E120" s="406" t="s">
        <v>367</v>
      </c>
      <c r="F120" s="405" t="s">
        <v>108</v>
      </c>
      <c r="G120" s="405" t="s">
        <v>358</v>
      </c>
      <c r="H120" s="405" t="s">
        <v>358</v>
      </c>
      <c r="I120" s="447" t="s">
        <v>790</v>
      </c>
      <c r="J120" s="505">
        <v>2000000</v>
      </c>
      <c r="K120" s="260"/>
      <c r="M120" s="120" t="e">
        <f>#N/A</f>
        <v>#N/A</v>
      </c>
    </row>
    <row r="121" spans="1:13" ht="12.75">
      <c r="A121" s="248"/>
      <c r="B121" s="259"/>
      <c r="C121" s="68"/>
      <c r="D121" s="461" t="s">
        <v>48</v>
      </c>
      <c r="E121" s="406" t="s">
        <v>367</v>
      </c>
      <c r="F121" s="405" t="s">
        <v>108</v>
      </c>
      <c r="G121" s="405" t="s">
        <v>358</v>
      </c>
      <c r="H121" s="405" t="s">
        <v>361</v>
      </c>
      <c r="I121" s="447" t="s">
        <v>565</v>
      </c>
      <c r="J121" s="505">
        <v>400000</v>
      </c>
      <c r="K121" s="260"/>
      <c r="M121" s="120" t="e">
        <f>#N/A</f>
        <v>#N/A</v>
      </c>
    </row>
    <row r="122" spans="1:13" ht="12.75">
      <c r="A122" s="248"/>
      <c r="B122" s="259"/>
      <c r="C122" s="68"/>
      <c r="D122" s="461" t="s">
        <v>48</v>
      </c>
      <c r="E122" s="406" t="s">
        <v>367</v>
      </c>
      <c r="F122" s="405" t="s">
        <v>108</v>
      </c>
      <c r="G122" s="405" t="s">
        <v>358</v>
      </c>
      <c r="H122" s="405" t="s">
        <v>109</v>
      </c>
      <c r="I122" s="447" t="s">
        <v>568</v>
      </c>
      <c r="J122" s="505">
        <v>30000</v>
      </c>
      <c r="K122" s="260"/>
      <c r="M122" s="120" t="e">
        <f>#N/A</f>
        <v>#N/A</v>
      </c>
    </row>
    <row r="123" spans="1:13" ht="12.75">
      <c r="A123" s="248"/>
      <c r="B123" s="259"/>
      <c r="C123" s="68"/>
      <c r="D123" s="461" t="s">
        <v>48</v>
      </c>
      <c r="E123" s="406" t="s">
        <v>367</v>
      </c>
      <c r="F123" s="405" t="s">
        <v>108</v>
      </c>
      <c r="G123" s="405" t="s">
        <v>360</v>
      </c>
      <c r="H123" s="405" t="s">
        <v>358</v>
      </c>
      <c r="I123" s="447" t="s">
        <v>569</v>
      </c>
      <c r="J123" s="505">
        <v>350000</v>
      </c>
      <c r="K123" s="260"/>
      <c r="M123" s="120" t="e">
        <f>#N/A</f>
        <v>#N/A</v>
      </c>
    </row>
    <row r="124" spans="1:13" ht="22.5">
      <c r="A124" s="248"/>
      <c r="B124" s="259"/>
      <c r="C124" s="68"/>
      <c r="D124" s="461" t="s">
        <v>48</v>
      </c>
      <c r="E124" s="406" t="s">
        <v>367</v>
      </c>
      <c r="F124" s="405" t="s">
        <v>108</v>
      </c>
      <c r="G124" s="405" t="s">
        <v>360</v>
      </c>
      <c r="H124" s="405" t="s">
        <v>359</v>
      </c>
      <c r="I124" s="447" t="s">
        <v>570</v>
      </c>
      <c r="J124" s="505">
        <v>2500000</v>
      </c>
      <c r="K124" s="260"/>
      <c r="M124" s="120" t="e">
        <f>#N/A</f>
        <v>#N/A</v>
      </c>
    </row>
    <row r="125" spans="1:13" ht="12.75">
      <c r="A125" s="248"/>
      <c r="B125" s="259"/>
      <c r="C125" s="68"/>
      <c r="D125" s="461" t="s">
        <v>48</v>
      </c>
      <c r="E125" s="406" t="s">
        <v>367</v>
      </c>
      <c r="F125" s="405" t="s">
        <v>108</v>
      </c>
      <c r="G125" s="405" t="s">
        <v>360</v>
      </c>
      <c r="H125" s="405" t="s">
        <v>360</v>
      </c>
      <c r="I125" s="447" t="s">
        <v>605</v>
      </c>
      <c r="J125" s="505">
        <v>250000</v>
      </c>
      <c r="K125" s="260"/>
      <c r="M125" s="120" t="e">
        <f>#N/A</f>
        <v>#N/A</v>
      </c>
    </row>
    <row r="126" spans="1:13" ht="22.5">
      <c r="A126" s="248"/>
      <c r="B126" s="259"/>
      <c r="C126" s="68"/>
      <c r="D126" s="461" t="s">
        <v>48</v>
      </c>
      <c r="E126" s="406" t="s">
        <v>367</v>
      </c>
      <c r="F126" s="405" t="s">
        <v>108</v>
      </c>
      <c r="G126" s="405" t="s">
        <v>360</v>
      </c>
      <c r="H126" s="405" t="s">
        <v>361</v>
      </c>
      <c r="I126" s="447" t="s">
        <v>571</v>
      </c>
      <c r="J126" s="505">
        <v>200000</v>
      </c>
      <c r="K126" s="260"/>
      <c r="M126" s="120" t="e">
        <f>#N/A</f>
        <v>#N/A</v>
      </c>
    </row>
    <row r="127" spans="1:13" ht="12.75">
      <c r="A127" s="248"/>
      <c r="B127" s="259"/>
      <c r="C127" s="68"/>
      <c r="D127" s="461" t="s">
        <v>48</v>
      </c>
      <c r="E127" s="406" t="s">
        <v>367</v>
      </c>
      <c r="F127" s="405" t="s">
        <v>108</v>
      </c>
      <c r="G127" s="405" t="s">
        <v>360</v>
      </c>
      <c r="H127" s="405" t="s">
        <v>362</v>
      </c>
      <c r="I127" s="447" t="s">
        <v>572</v>
      </c>
      <c r="J127" s="505">
        <v>150000</v>
      </c>
      <c r="K127" s="260"/>
      <c r="M127" s="120" t="e">
        <f>#N/A</f>
        <v>#N/A</v>
      </c>
    </row>
    <row r="128" spans="1:13" ht="12.75">
      <c r="A128" s="248"/>
      <c r="B128" s="259"/>
      <c r="C128" s="68"/>
      <c r="D128" s="461" t="s">
        <v>48</v>
      </c>
      <c r="E128" s="406" t="s">
        <v>367</v>
      </c>
      <c r="F128" s="405" t="s">
        <v>108</v>
      </c>
      <c r="G128" s="405" t="s">
        <v>360</v>
      </c>
      <c r="H128" s="405" t="s">
        <v>363</v>
      </c>
      <c r="I128" s="447" t="s">
        <v>573</v>
      </c>
      <c r="J128" s="505">
        <v>150000</v>
      </c>
      <c r="K128" s="260"/>
      <c r="M128" s="120" t="e">
        <f>#N/A</f>
        <v>#N/A</v>
      </c>
    </row>
    <row r="129" spans="1:15" ht="22.5">
      <c r="A129" s="248"/>
      <c r="B129" s="259"/>
      <c r="C129" s="68"/>
      <c r="D129" s="461" t="s">
        <v>48</v>
      </c>
      <c r="E129" s="406" t="s">
        <v>367</v>
      </c>
      <c r="F129" s="405" t="s">
        <v>108</v>
      </c>
      <c r="G129" s="405" t="s">
        <v>360</v>
      </c>
      <c r="H129" s="405" t="s">
        <v>109</v>
      </c>
      <c r="I129" s="447" t="s">
        <v>574</v>
      </c>
      <c r="J129" s="505">
        <v>150000</v>
      </c>
      <c r="K129" s="260"/>
      <c r="M129" s="120" t="e">
        <f>#N/A</f>
        <v>#N/A</v>
      </c>
    </row>
    <row r="130" spans="1:15" ht="12.75">
      <c r="A130" s="248"/>
      <c r="B130" s="259"/>
      <c r="C130" s="68"/>
      <c r="D130" s="461" t="s">
        <v>48</v>
      </c>
      <c r="E130" s="406" t="s">
        <v>367</v>
      </c>
      <c r="F130" s="405" t="s">
        <v>108</v>
      </c>
      <c r="G130" s="405" t="s">
        <v>109</v>
      </c>
      <c r="H130" s="405" t="s">
        <v>358</v>
      </c>
      <c r="I130" s="447" t="s">
        <v>575</v>
      </c>
      <c r="J130" s="505">
        <v>100000</v>
      </c>
      <c r="K130" s="260"/>
      <c r="M130" s="120" t="e">
        <f>#N/A</f>
        <v>#N/A</v>
      </c>
    </row>
    <row r="131" spans="1:15" ht="12.75">
      <c r="A131" s="248"/>
      <c r="B131" s="259"/>
      <c r="C131" s="68"/>
      <c r="D131" s="461" t="s">
        <v>48</v>
      </c>
      <c r="E131" s="406" t="s">
        <v>367</v>
      </c>
      <c r="F131" s="405" t="s">
        <v>108</v>
      </c>
      <c r="G131" s="405" t="s">
        <v>109</v>
      </c>
      <c r="H131" s="405" t="s">
        <v>360</v>
      </c>
      <c r="I131" s="447" t="s">
        <v>110</v>
      </c>
      <c r="J131" s="505">
        <v>100000</v>
      </c>
      <c r="K131" s="260"/>
      <c r="M131" s="120" t="e">
        <f>#N/A</f>
        <v>#N/A</v>
      </c>
    </row>
    <row r="132" spans="1:15" ht="12.75">
      <c r="A132" s="248"/>
      <c r="B132" s="259"/>
      <c r="C132" s="68"/>
      <c r="D132" s="461" t="s">
        <v>48</v>
      </c>
      <c r="E132" s="406" t="s">
        <v>367</v>
      </c>
      <c r="F132" s="405" t="s">
        <v>108</v>
      </c>
      <c r="G132" s="405" t="s">
        <v>109</v>
      </c>
      <c r="H132" s="405" t="s">
        <v>361</v>
      </c>
      <c r="I132" s="447" t="s">
        <v>576</v>
      </c>
      <c r="J132" s="505">
        <v>100000</v>
      </c>
      <c r="K132" s="260"/>
      <c r="M132" s="120" t="e">
        <f>#N/A</f>
        <v>#N/A</v>
      </c>
    </row>
    <row r="133" spans="1:15" ht="12.75">
      <c r="A133" s="248"/>
      <c r="B133" s="259"/>
      <c r="C133" s="68"/>
      <c r="D133" s="461" t="s">
        <v>48</v>
      </c>
      <c r="E133" s="406" t="s">
        <v>367</v>
      </c>
      <c r="F133" s="405" t="s">
        <v>108</v>
      </c>
      <c r="G133" s="405" t="s">
        <v>109</v>
      </c>
      <c r="H133" s="405" t="s">
        <v>362</v>
      </c>
      <c r="I133" s="447" t="s">
        <v>118</v>
      </c>
      <c r="J133" s="505">
        <v>150000</v>
      </c>
      <c r="K133" s="260"/>
      <c r="M133" s="120" t="e">
        <f>#N/A</f>
        <v>#N/A</v>
      </c>
    </row>
    <row r="134" spans="1:15" ht="12.75">
      <c r="A134" s="248"/>
      <c r="B134" s="259"/>
      <c r="C134" s="68"/>
      <c r="D134" s="461" t="s">
        <v>48</v>
      </c>
      <c r="E134" s="406" t="s">
        <v>367</v>
      </c>
      <c r="F134" s="405" t="s">
        <v>108</v>
      </c>
      <c r="G134" s="405" t="s">
        <v>109</v>
      </c>
      <c r="H134" s="405" t="s">
        <v>363</v>
      </c>
      <c r="I134" s="447" t="s">
        <v>119</v>
      </c>
      <c r="J134" s="504">
        <v>50000</v>
      </c>
      <c r="K134" s="260"/>
      <c r="M134" s="120" t="e">
        <f>#N/A</f>
        <v>#N/A</v>
      </c>
    </row>
    <row r="135" spans="1:15" ht="12.75">
      <c r="A135" s="248"/>
      <c r="B135" s="259"/>
      <c r="C135" s="68"/>
      <c r="D135" s="461" t="s">
        <v>48</v>
      </c>
      <c r="E135" s="406" t="s">
        <v>367</v>
      </c>
      <c r="F135" s="405" t="s">
        <v>120</v>
      </c>
      <c r="G135" s="405" t="s">
        <v>358</v>
      </c>
      <c r="H135" s="405" t="s">
        <v>361</v>
      </c>
      <c r="I135" s="482" t="s">
        <v>121</v>
      </c>
      <c r="J135" s="505">
        <v>250000</v>
      </c>
      <c r="K135" s="260"/>
      <c r="M135" s="120" t="e">
        <f>#N/A</f>
        <v>#N/A</v>
      </c>
    </row>
    <row r="136" spans="1:15" ht="12.75">
      <c r="A136" s="248"/>
      <c r="B136" s="259"/>
      <c r="C136" s="68"/>
      <c r="D136" s="461" t="s">
        <v>48</v>
      </c>
      <c r="E136" s="406" t="s">
        <v>367</v>
      </c>
      <c r="F136" s="405" t="s">
        <v>120</v>
      </c>
      <c r="G136" s="405" t="s">
        <v>359</v>
      </c>
      <c r="H136" s="405" t="s">
        <v>361</v>
      </c>
      <c r="I136" s="482" t="s">
        <v>577</v>
      </c>
      <c r="J136" s="505">
        <v>5331236.59</v>
      </c>
      <c r="K136" s="260"/>
      <c r="M136" s="120" t="e">
        <f>#N/A</f>
        <v>#N/A</v>
      </c>
    </row>
    <row r="137" spans="1:15" ht="12.75">
      <c r="A137" s="248"/>
      <c r="B137" s="259"/>
      <c r="C137" s="68"/>
      <c r="D137" s="461" t="s">
        <v>433</v>
      </c>
      <c r="E137" s="452" t="s">
        <v>358</v>
      </c>
      <c r="F137" s="406" t="s">
        <v>96</v>
      </c>
      <c r="G137" s="406" t="s">
        <v>361</v>
      </c>
      <c r="H137" s="406" t="s">
        <v>358</v>
      </c>
      <c r="I137" s="465" t="s">
        <v>100</v>
      </c>
      <c r="J137" s="505">
        <v>4300000</v>
      </c>
      <c r="K137" s="260"/>
      <c r="M137" s="120" t="e">
        <f>#N/A</f>
        <v>#N/A</v>
      </c>
    </row>
    <row r="138" spans="1:15" ht="12.75">
      <c r="A138" s="510"/>
      <c r="B138" s="511"/>
      <c r="C138" s="83"/>
      <c r="D138" s="453"/>
      <c r="E138" s="404"/>
      <c r="F138" s="404"/>
      <c r="G138" s="559"/>
      <c r="H138" s="559"/>
      <c r="I138" s="479"/>
      <c r="J138" s="529"/>
      <c r="K138" s="260"/>
      <c r="L138" s="120">
        <f>+J138</f>
        <v>0</v>
      </c>
      <c r="O138" s="120">
        <f>+'Distribucion Programas I'!C25</f>
        <v>38706838.812658623</v>
      </c>
    </row>
    <row r="139" spans="1:15" ht="12.75">
      <c r="A139" s="508"/>
      <c r="B139" s="509"/>
      <c r="C139" s="68"/>
      <c r="D139" s="451"/>
      <c r="E139" s="452"/>
      <c r="F139" s="452"/>
      <c r="G139" s="336"/>
      <c r="H139" s="336"/>
      <c r="I139" s="467"/>
      <c r="J139" s="528"/>
      <c r="K139" s="260">
        <f>+C102*10%</f>
        <v>475000</v>
      </c>
      <c r="L139" s="120">
        <f>+J139</f>
        <v>0</v>
      </c>
      <c r="O139" s="120">
        <f>+J93+J138</f>
        <v>38706838.812658623</v>
      </c>
    </row>
    <row r="140" spans="1:15" ht="12.75">
      <c r="A140" s="508"/>
      <c r="B140" s="509"/>
      <c r="C140" s="68"/>
      <c r="D140" s="451"/>
      <c r="E140" s="452"/>
      <c r="F140" s="452"/>
      <c r="G140" s="452"/>
      <c r="H140" s="452"/>
      <c r="I140" s="467"/>
      <c r="J140" s="528"/>
      <c r="K140" s="260">
        <f>SUM(J138:J152)</f>
        <v>7</v>
      </c>
      <c r="L140" s="120">
        <f>+J140</f>
        <v>0</v>
      </c>
      <c r="O140" s="120">
        <f>+J166</f>
        <v>650000</v>
      </c>
    </row>
    <row r="141" spans="1:15" ht="12.75">
      <c r="A141" s="508"/>
      <c r="B141" s="509"/>
      <c r="C141" s="68"/>
      <c r="D141" s="451"/>
      <c r="E141" s="452"/>
      <c r="F141" s="452"/>
      <c r="G141" s="452"/>
      <c r="H141" s="452"/>
      <c r="I141" s="467"/>
      <c r="J141" s="528"/>
      <c r="K141" s="260"/>
    </row>
    <row r="142" spans="1:15" ht="12.75">
      <c r="A142" s="508"/>
      <c r="B142" s="509"/>
      <c r="C142" s="68"/>
      <c r="D142" s="451"/>
      <c r="E142" s="452"/>
      <c r="F142" s="452"/>
      <c r="G142" s="452"/>
      <c r="H142" s="452"/>
      <c r="I142" s="467"/>
      <c r="J142" s="528"/>
      <c r="K142" s="260"/>
    </row>
    <row r="143" spans="1:15" ht="12.75">
      <c r="A143" s="508"/>
      <c r="B143" s="509"/>
      <c r="C143" s="68"/>
      <c r="D143" s="451"/>
      <c r="E143" s="452"/>
      <c r="F143" s="452"/>
      <c r="G143" s="452"/>
      <c r="H143" s="452"/>
      <c r="I143" s="467"/>
      <c r="J143" s="528"/>
      <c r="K143" s="260"/>
    </row>
    <row r="144" spans="1:15" ht="12.75">
      <c r="A144" s="508"/>
      <c r="B144" s="509"/>
      <c r="C144" s="68"/>
      <c r="D144" s="451"/>
      <c r="E144" s="452"/>
      <c r="F144" s="452"/>
      <c r="G144" s="452"/>
      <c r="H144" s="452"/>
      <c r="I144" s="467"/>
      <c r="J144" s="528"/>
      <c r="K144" s="260"/>
    </row>
    <row r="145" spans="1:15" ht="12.75">
      <c r="A145" s="508"/>
      <c r="B145" s="509"/>
      <c r="C145" s="68"/>
      <c r="D145" s="451"/>
      <c r="E145" s="452"/>
      <c r="F145" s="452"/>
      <c r="G145" s="452"/>
      <c r="H145" s="452"/>
      <c r="I145" s="467"/>
      <c r="J145" s="528"/>
      <c r="K145" s="260"/>
    </row>
    <row r="146" spans="1:15" ht="12.75">
      <c r="A146" s="508"/>
      <c r="B146" s="509"/>
      <c r="C146" s="68"/>
      <c r="D146" s="451"/>
      <c r="E146" s="452"/>
      <c r="F146" s="452"/>
      <c r="G146" s="452"/>
      <c r="H146" s="452"/>
      <c r="I146" s="467"/>
      <c r="J146" s="528"/>
      <c r="K146" s="260"/>
    </row>
    <row r="147" spans="1:15" ht="12.75">
      <c r="A147" s="508"/>
      <c r="B147" s="509"/>
      <c r="C147" s="68"/>
      <c r="D147" s="451"/>
      <c r="E147" s="452"/>
      <c r="F147" s="452"/>
      <c r="G147" s="452"/>
      <c r="H147" s="452"/>
      <c r="I147" s="467"/>
      <c r="J147" s="528"/>
      <c r="K147" s="260"/>
    </row>
    <row r="148" spans="1:15" ht="12.75">
      <c r="A148" s="508"/>
      <c r="B148" s="509"/>
      <c r="C148" s="68"/>
      <c r="D148" s="451"/>
      <c r="E148" s="452"/>
      <c r="F148" s="452"/>
      <c r="G148" s="452"/>
      <c r="H148" s="452"/>
      <c r="I148" s="467"/>
      <c r="J148" s="528"/>
      <c r="K148" s="260"/>
    </row>
    <row r="149" spans="1:15" ht="12.75">
      <c r="A149" s="508"/>
      <c r="B149" s="509"/>
      <c r="C149" s="68"/>
      <c r="D149" s="451"/>
      <c r="E149" s="452"/>
      <c r="F149" s="452"/>
      <c r="G149" s="452"/>
      <c r="H149" s="452"/>
      <c r="I149" s="467"/>
      <c r="J149" s="528"/>
      <c r="K149" s="260"/>
    </row>
    <row r="150" spans="1:15" ht="12.75">
      <c r="A150" s="508"/>
      <c r="B150" s="509"/>
      <c r="C150" s="68"/>
      <c r="D150" s="451"/>
      <c r="E150" s="452"/>
      <c r="F150" s="452"/>
      <c r="G150" s="452"/>
      <c r="H150" s="452"/>
      <c r="I150" s="467"/>
      <c r="J150" s="394">
        <v>7</v>
      </c>
      <c r="K150" s="260">
        <f>+K139-K140</f>
        <v>474993</v>
      </c>
      <c r="L150" s="120">
        <f>+J150</f>
        <v>7</v>
      </c>
    </row>
    <row r="151" spans="1:15" ht="12.75">
      <c r="A151" s="508"/>
      <c r="B151" s="509"/>
      <c r="C151" s="68"/>
      <c r="D151" s="451"/>
      <c r="E151" s="452"/>
      <c r="F151" s="452"/>
      <c r="G151" s="452"/>
      <c r="H151" s="452"/>
      <c r="I151" s="467"/>
      <c r="J151" s="528"/>
      <c r="K151" s="260"/>
      <c r="L151" s="120">
        <f>+J151</f>
        <v>0</v>
      </c>
    </row>
    <row r="152" spans="1:15" ht="7.5" customHeight="1">
      <c r="A152" s="512"/>
      <c r="B152" s="513"/>
      <c r="C152" s="84"/>
      <c r="D152" s="448"/>
      <c r="E152" s="450"/>
      <c r="F152" s="450"/>
      <c r="G152" s="450"/>
      <c r="H152" s="450"/>
      <c r="I152" s="480"/>
      <c r="J152" s="79"/>
      <c r="K152" s="260"/>
    </row>
    <row r="153" spans="1:15" ht="25.5">
      <c r="A153" s="248" t="s">
        <v>976</v>
      </c>
      <c r="B153" s="259" t="s">
        <v>972</v>
      </c>
      <c r="C153" s="68">
        <f>+'Ingreso Contraloría'!C38</f>
        <v>6300000</v>
      </c>
      <c r="D153" s="461" t="s">
        <v>48</v>
      </c>
      <c r="E153" s="406" t="s">
        <v>364</v>
      </c>
      <c r="F153" s="483" t="s">
        <v>96</v>
      </c>
      <c r="G153" s="452" t="s">
        <v>358</v>
      </c>
      <c r="H153" s="406" t="s">
        <v>358</v>
      </c>
      <c r="I153" s="447" t="s">
        <v>1031</v>
      </c>
      <c r="J153" s="504">
        <v>3355909.2</v>
      </c>
      <c r="K153" s="260">
        <f>+C153</f>
        <v>6300000</v>
      </c>
      <c r="M153" s="120" t="e">
        <f>#N/A</f>
        <v>#N/A</v>
      </c>
      <c r="O153" s="120">
        <f>+O138-O139-O140-O150</f>
        <v>-650000</v>
      </c>
    </row>
    <row r="154" spans="1:15" ht="12.75">
      <c r="A154" s="248"/>
      <c r="B154" s="259"/>
      <c r="C154" s="68"/>
      <c r="D154" s="461" t="s">
        <v>48</v>
      </c>
      <c r="E154" s="406" t="s">
        <v>364</v>
      </c>
      <c r="F154" s="483" t="s">
        <v>96</v>
      </c>
      <c r="G154" s="452" t="s">
        <v>358</v>
      </c>
      <c r="H154" s="406" t="s">
        <v>362</v>
      </c>
      <c r="I154" s="447" t="s">
        <v>442</v>
      </c>
      <c r="J154" s="504">
        <v>279659.09999999998</v>
      </c>
      <c r="K154" s="260"/>
      <c r="M154" s="120" t="e">
        <f>#N/A</f>
        <v>#N/A</v>
      </c>
    </row>
    <row r="155" spans="1:15" ht="12.75">
      <c r="A155" s="248"/>
      <c r="B155" s="259"/>
      <c r="C155" s="68"/>
      <c r="D155" s="461" t="s">
        <v>48</v>
      </c>
      <c r="E155" s="406" t="s">
        <v>364</v>
      </c>
      <c r="F155" s="406" t="s">
        <v>96</v>
      </c>
      <c r="G155" s="406" t="s">
        <v>360</v>
      </c>
      <c r="H155" s="406" t="s">
        <v>358</v>
      </c>
      <c r="I155" s="447" t="s">
        <v>98</v>
      </c>
      <c r="J155" s="504">
        <v>464234.11</v>
      </c>
      <c r="K155" s="260"/>
      <c r="M155" s="120" t="e">
        <f>#N/A</f>
        <v>#N/A</v>
      </c>
    </row>
    <row r="156" spans="1:15" ht="12.75">
      <c r="A156" s="248"/>
      <c r="B156" s="259"/>
      <c r="C156" s="68"/>
      <c r="D156" s="461" t="s">
        <v>48</v>
      </c>
      <c r="E156" s="406" t="s">
        <v>364</v>
      </c>
      <c r="F156" s="406" t="s">
        <v>96</v>
      </c>
      <c r="G156" s="406" t="s">
        <v>360</v>
      </c>
      <c r="H156" s="406" t="s">
        <v>360</v>
      </c>
      <c r="I156" s="465" t="s">
        <v>99</v>
      </c>
      <c r="J156" s="504">
        <v>341650.2</v>
      </c>
      <c r="K156" s="260">
        <f>SUM(J153:J168)</f>
        <v>6500000</v>
      </c>
      <c r="M156" s="120" t="e">
        <f>#N/A</f>
        <v>#N/A</v>
      </c>
    </row>
    <row r="157" spans="1:15" ht="12.75">
      <c r="A157" s="248"/>
      <c r="B157" s="259"/>
      <c r="C157" s="68"/>
      <c r="D157" s="461" t="s">
        <v>48</v>
      </c>
      <c r="E157" s="406" t="s">
        <v>364</v>
      </c>
      <c r="F157" s="406" t="s">
        <v>96</v>
      </c>
      <c r="G157" s="406" t="s">
        <v>361</v>
      </c>
      <c r="H157" s="406" t="s">
        <v>358</v>
      </c>
      <c r="I157" s="465" t="s">
        <v>100</v>
      </c>
      <c r="J157" s="504">
        <v>573972.34</v>
      </c>
      <c r="K157" s="260">
        <f>+K153-K156</f>
        <v>-200000</v>
      </c>
      <c r="M157" s="120" t="e">
        <f>#N/A</f>
        <v>#N/A</v>
      </c>
    </row>
    <row r="158" spans="1:15" ht="12.75">
      <c r="A158" s="248"/>
      <c r="B158" s="259"/>
      <c r="C158" s="68"/>
      <c r="D158" s="461" t="s">
        <v>48</v>
      </c>
      <c r="E158" s="406" t="s">
        <v>364</v>
      </c>
      <c r="F158" s="406" t="s">
        <v>96</v>
      </c>
      <c r="G158" s="406" t="s">
        <v>361</v>
      </c>
      <c r="H158" s="406" t="s">
        <v>362</v>
      </c>
      <c r="I158" s="465" t="s">
        <v>101</v>
      </c>
      <c r="J158" s="504">
        <v>20499.009999999998</v>
      </c>
      <c r="K158" s="260"/>
      <c r="M158" s="120" t="e">
        <f>#N/A</f>
        <v>#N/A</v>
      </c>
      <c r="O158" s="120">
        <f>+J139+J166+J194</f>
        <v>94851402.430000007</v>
      </c>
    </row>
    <row r="159" spans="1:15" ht="12.75">
      <c r="A159" s="248"/>
      <c r="B159" s="259"/>
      <c r="C159" s="68"/>
      <c r="D159" s="461" t="s">
        <v>48</v>
      </c>
      <c r="E159" s="406" t="s">
        <v>364</v>
      </c>
      <c r="F159" s="406" t="s">
        <v>96</v>
      </c>
      <c r="G159" s="406" t="s">
        <v>362</v>
      </c>
      <c r="H159" s="406" t="s">
        <v>359</v>
      </c>
      <c r="I159" s="465" t="s">
        <v>102</v>
      </c>
      <c r="J159" s="504">
        <v>61497.04</v>
      </c>
      <c r="K159" s="260"/>
      <c r="M159" s="120" t="e">
        <f>#N/A</f>
        <v>#N/A</v>
      </c>
      <c r="O159" s="120">
        <v>7383437.04</v>
      </c>
    </row>
    <row r="160" spans="1:15" ht="12.75">
      <c r="A160" s="248"/>
      <c r="B160" s="259"/>
      <c r="C160" s="68"/>
      <c r="D160" s="461" t="s">
        <v>48</v>
      </c>
      <c r="E160" s="406" t="s">
        <v>364</v>
      </c>
      <c r="F160" s="406" t="s">
        <v>96</v>
      </c>
      <c r="G160" s="406" t="s">
        <v>362</v>
      </c>
      <c r="H160" s="406" t="s">
        <v>360</v>
      </c>
      <c r="I160" s="465" t="s">
        <v>103</v>
      </c>
      <c r="J160" s="504">
        <v>122994.07</v>
      </c>
      <c r="K160" s="260"/>
      <c r="M160" s="120" t="e">
        <f>#N/A</f>
        <v>#N/A</v>
      </c>
    </row>
    <row r="161" spans="1:15" ht="12.75">
      <c r="A161" s="248"/>
      <c r="B161" s="259"/>
      <c r="C161" s="68"/>
      <c r="D161" s="461" t="s">
        <v>48</v>
      </c>
      <c r="E161" s="406" t="s">
        <v>364</v>
      </c>
      <c r="F161" s="483" t="s">
        <v>104</v>
      </c>
      <c r="G161" s="452" t="s">
        <v>359</v>
      </c>
      <c r="H161" s="406" t="s">
        <v>358</v>
      </c>
      <c r="I161" s="447" t="s">
        <v>1077</v>
      </c>
      <c r="J161" s="504">
        <v>137924.1</v>
      </c>
      <c r="K161" s="260"/>
      <c r="M161" s="120" t="e">
        <f>#N/A</f>
        <v>#N/A</v>
      </c>
      <c r="O161" s="120">
        <f>+O159-O158</f>
        <v>-87467965.390000001</v>
      </c>
    </row>
    <row r="162" spans="1:15" ht="12.75">
      <c r="A162" s="248"/>
      <c r="B162" s="259"/>
      <c r="C162" s="68"/>
      <c r="D162" s="461" t="s">
        <v>48</v>
      </c>
      <c r="E162" s="406" t="s">
        <v>364</v>
      </c>
      <c r="F162" s="483" t="s">
        <v>104</v>
      </c>
      <c r="G162" s="452" t="s">
        <v>359</v>
      </c>
      <c r="H162" s="406" t="s">
        <v>359</v>
      </c>
      <c r="I162" s="447" t="s">
        <v>113</v>
      </c>
      <c r="J162" s="504">
        <v>200000</v>
      </c>
      <c r="K162" s="260"/>
      <c r="M162" s="120" t="e">
        <f>#N/A</f>
        <v>#N/A</v>
      </c>
    </row>
    <row r="163" spans="1:15" ht="12.75">
      <c r="A163" s="248"/>
      <c r="B163" s="259"/>
      <c r="C163" s="68"/>
      <c r="D163" s="461" t="s">
        <v>48</v>
      </c>
      <c r="E163" s="406" t="s">
        <v>364</v>
      </c>
      <c r="F163" s="483" t="s">
        <v>104</v>
      </c>
      <c r="G163" s="452" t="s">
        <v>363</v>
      </c>
      <c r="H163" s="406" t="s">
        <v>358</v>
      </c>
      <c r="I163" s="447" t="s">
        <v>106</v>
      </c>
      <c r="J163" s="504">
        <v>116706.1</v>
      </c>
      <c r="K163" s="260">
        <f>+C153*10%</f>
        <v>630000</v>
      </c>
      <c r="M163" s="120" t="e">
        <f>#N/A</f>
        <v>#N/A</v>
      </c>
    </row>
    <row r="164" spans="1:15" ht="12.75">
      <c r="A164" s="248"/>
      <c r="B164" s="259"/>
      <c r="C164" s="68"/>
      <c r="D164" s="461" t="s">
        <v>48</v>
      </c>
      <c r="E164" s="406" t="s">
        <v>364</v>
      </c>
      <c r="F164" s="483" t="s">
        <v>108</v>
      </c>
      <c r="G164" s="452" t="s">
        <v>360</v>
      </c>
      <c r="H164" s="406" t="s">
        <v>358</v>
      </c>
      <c r="I164" s="447" t="s">
        <v>1145</v>
      </c>
      <c r="J164" s="504">
        <v>24954.73</v>
      </c>
      <c r="K164" s="260"/>
      <c r="M164" s="120" t="e">
        <f>#N/A</f>
        <v>#N/A</v>
      </c>
    </row>
    <row r="165" spans="1:15" ht="12.75">
      <c r="A165" s="248"/>
      <c r="B165" s="259"/>
      <c r="C165" s="68"/>
      <c r="D165" s="461" t="s">
        <v>48</v>
      </c>
      <c r="E165" s="406" t="s">
        <v>364</v>
      </c>
      <c r="F165" s="483"/>
      <c r="G165" s="452"/>
      <c r="H165" s="406"/>
      <c r="I165" s="447" t="s">
        <v>1146</v>
      </c>
      <c r="J165" s="504">
        <v>150000</v>
      </c>
      <c r="K165" s="260"/>
      <c r="M165" s="120" t="e">
        <f>#N/A</f>
        <v>#N/A</v>
      </c>
    </row>
    <row r="166" spans="1:15" ht="12.75">
      <c r="A166" s="248"/>
      <c r="B166" s="259"/>
      <c r="C166" s="68"/>
      <c r="D166" s="461" t="s">
        <v>433</v>
      </c>
      <c r="E166" s="405" t="s">
        <v>358</v>
      </c>
      <c r="F166" s="406" t="s">
        <v>96</v>
      </c>
      <c r="G166" s="406" t="s">
        <v>361</v>
      </c>
      <c r="H166" s="406" t="s">
        <v>358</v>
      </c>
      <c r="I166" s="465" t="s">
        <v>100</v>
      </c>
      <c r="J166" s="505">
        <v>650000</v>
      </c>
      <c r="K166" s="260">
        <f>+J166+J167</f>
        <v>650000</v>
      </c>
      <c r="L166" s="120">
        <f>+J166</f>
        <v>650000</v>
      </c>
    </row>
    <row r="167" spans="1:15" ht="12.75">
      <c r="A167" s="248"/>
      <c r="B167" s="259"/>
      <c r="C167" s="68"/>
      <c r="D167" s="461"/>
      <c r="E167" s="405"/>
      <c r="F167" s="406"/>
      <c r="G167" s="336"/>
      <c r="H167" s="333"/>
      <c r="I167" s="466"/>
      <c r="J167" s="469"/>
      <c r="K167" s="260">
        <f>+K163-K166</f>
        <v>-20000</v>
      </c>
      <c r="L167" s="120">
        <f>+J167</f>
        <v>0</v>
      </c>
    </row>
    <row r="168" spans="1:15" ht="6" customHeight="1">
      <c r="A168" s="249"/>
      <c r="B168" s="245"/>
      <c r="C168" s="84"/>
      <c r="D168" s="458"/>
      <c r="E168" s="450"/>
      <c r="F168" s="487"/>
      <c r="G168" s="450"/>
      <c r="H168" s="449"/>
      <c r="I168" s="490"/>
      <c r="J168" s="468">
        <v>0</v>
      </c>
      <c r="K168" s="260"/>
    </row>
    <row r="169" spans="1:15" ht="12.75">
      <c r="A169" s="3" t="s">
        <v>983</v>
      </c>
      <c r="B169" s="259" t="s">
        <v>984</v>
      </c>
      <c r="C169" s="277">
        <v>2000</v>
      </c>
      <c r="D169" s="457" t="s">
        <v>48</v>
      </c>
      <c r="E169" s="452" t="s">
        <v>361</v>
      </c>
      <c r="F169" s="406" t="s">
        <v>108</v>
      </c>
      <c r="G169" s="406" t="s">
        <v>358</v>
      </c>
      <c r="H169" s="406" t="s">
        <v>358</v>
      </c>
      <c r="I169" s="467" t="s">
        <v>677</v>
      </c>
      <c r="J169" s="501">
        <v>2000</v>
      </c>
      <c r="K169" s="260">
        <f>+J169</f>
        <v>2000</v>
      </c>
      <c r="M169" s="120" t="e">
        <f>#N/A</f>
        <v>#N/A</v>
      </c>
    </row>
    <row r="170" spans="1:15" ht="23.25" customHeight="1">
      <c r="A170" s="246" t="s">
        <v>981</v>
      </c>
      <c r="B170" s="339" t="s">
        <v>978</v>
      </c>
      <c r="C170" s="327">
        <f>+'Ingreso Contraloría'!C42</f>
        <v>139262000</v>
      </c>
      <c r="D170" s="460" t="s">
        <v>48</v>
      </c>
      <c r="E170" s="454" t="s">
        <v>359</v>
      </c>
      <c r="F170" s="404" t="s">
        <v>96</v>
      </c>
      <c r="G170" s="454" t="s">
        <v>358</v>
      </c>
      <c r="H170" s="454" t="s">
        <v>358</v>
      </c>
      <c r="I170" s="459" t="s">
        <v>95</v>
      </c>
      <c r="J170" s="504">
        <v>10428310.800000001</v>
      </c>
      <c r="K170" s="260">
        <f>+C170</f>
        <v>139262000</v>
      </c>
      <c r="M170" s="120" t="e">
        <f>#N/A</f>
        <v>#N/A</v>
      </c>
    </row>
    <row r="171" spans="1:15" ht="23.25" customHeight="1">
      <c r="A171" s="248"/>
      <c r="B171" s="340"/>
      <c r="C171" s="331"/>
      <c r="D171" s="461" t="s">
        <v>48</v>
      </c>
      <c r="E171" s="406" t="s">
        <v>359</v>
      </c>
      <c r="F171" s="452" t="s">
        <v>96</v>
      </c>
      <c r="G171" s="406" t="s">
        <v>358</v>
      </c>
      <c r="H171" s="406" t="s">
        <v>359</v>
      </c>
      <c r="I171" s="447" t="s">
        <v>1141</v>
      </c>
      <c r="J171" s="504">
        <v>1500000</v>
      </c>
      <c r="K171" s="260"/>
      <c r="M171" s="120" t="e">
        <f>#N/A</f>
        <v>#N/A</v>
      </c>
    </row>
    <row r="172" spans="1:15" ht="12.75">
      <c r="A172" s="248"/>
      <c r="B172" s="340"/>
      <c r="C172" s="331"/>
      <c r="D172" s="461" t="s">
        <v>48</v>
      </c>
      <c r="E172" s="406" t="s">
        <v>359</v>
      </c>
      <c r="F172" s="452" t="s">
        <v>96</v>
      </c>
      <c r="G172" s="406" t="s">
        <v>358</v>
      </c>
      <c r="H172" s="406" t="s">
        <v>362</v>
      </c>
      <c r="I172" s="447" t="s">
        <v>442</v>
      </c>
      <c r="J172" s="504">
        <v>869025.9</v>
      </c>
      <c r="K172" s="260">
        <f>SUM(J170:J195)</f>
        <v>161369628.19</v>
      </c>
      <c r="M172" s="120" t="e">
        <f>#N/A</f>
        <v>#N/A</v>
      </c>
    </row>
    <row r="173" spans="1:15" ht="12.75">
      <c r="A173" s="248"/>
      <c r="B173" s="340"/>
      <c r="C173" s="331"/>
      <c r="D173" s="461" t="s">
        <v>48</v>
      </c>
      <c r="E173" s="406" t="s">
        <v>359</v>
      </c>
      <c r="F173" s="452" t="s">
        <v>96</v>
      </c>
      <c r="G173" s="406" t="s">
        <v>359</v>
      </c>
      <c r="H173" s="406" t="s">
        <v>358</v>
      </c>
      <c r="I173" s="447" t="s">
        <v>1107</v>
      </c>
      <c r="J173" s="504">
        <v>500000</v>
      </c>
      <c r="K173" s="260"/>
      <c r="M173" s="120" t="e">
        <f>#N/A</f>
        <v>#N/A</v>
      </c>
    </row>
    <row r="174" spans="1:15" ht="12.75">
      <c r="A174" s="248"/>
      <c r="B174" s="340"/>
      <c r="C174" s="331"/>
      <c r="D174" s="461" t="s">
        <v>48</v>
      </c>
      <c r="E174" s="406" t="s">
        <v>359</v>
      </c>
      <c r="F174" s="452" t="s">
        <v>96</v>
      </c>
      <c r="G174" s="406" t="s">
        <v>360</v>
      </c>
      <c r="H174" s="406" t="s">
        <v>358</v>
      </c>
      <c r="I174" s="447" t="s">
        <v>98</v>
      </c>
      <c r="J174" s="504">
        <v>2610820.2999999998</v>
      </c>
      <c r="K174" s="260">
        <f>+K170-K172</f>
        <v>-22107628.189999998</v>
      </c>
      <c r="M174" s="120" t="e">
        <f>#N/A</f>
        <v>#N/A</v>
      </c>
    </row>
    <row r="175" spans="1:15" ht="12.75">
      <c r="A175" s="248"/>
      <c r="B175" s="340"/>
      <c r="C175" s="331"/>
      <c r="D175" s="461" t="s">
        <v>48</v>
      </c>
      <c r="E175" s="406" t="s">
        <v>359</v>
      </c>
      <c r="F175" s="483" t="s">
        <v>96</v>
      </c>
      <c r="G175" s="452" t="s">
        <v>360</v>
      </c>
      <c r="H175" s="406" t="s">
        <v>360</v>
      </c>
      <c r="I175" s="467" t="s">
        <v>99</v>
      </c>
      <c r="J175" s="505">
        <v>1325679.75</v>
      </c>
      <c r="M175" s="120" t="e">
        <f>#N/A</f>
        <v>#N/A</v>
      </c>
    </row>
    <row r="176" spans="1:15" ht="12.75">
      <c r="A176" s="248"/>
      <c r="B176" s="340"/>
      <c r="C176" s="331"/>
      <c r="D176" s="461" t="s">
        <v>48</v>
      </c>
      <c r="E176" s="406" t="s">
        <v>359</v>
      </c>
      <c r="F176" s="483" t="s">
        <v>96</v>
      </c>
      <c r="G176" s="452" t="s">
        <v>361</v>
      </c>
      <c r="H176" s="406" t="s">
        <v>358</v>
      </c>
      <c r="I176" s="467" t="s">
        <v>100</v>
      </c>
      <c r="J176" s="505">
        <v>2227141.98</v>
      </c>
      <c r="M176" s="120" t="e">
        <f>#N/A</f>
        <v>#N/A</v>
      </c>
    </row>
    <row r="177" spans="1:13" ht="12.75">
      <c r="A177" s="248"/>
      <c r="B177" s="340"/>
      <c r="C177" s="331"/>
      <c r="D177" s="461" t="s">
        <v>48</v>
      </c>
      <c r="E177" s="406" t="s">
        <v>359</v>
      </c>
      <c r="F177" s="483" t="s">
        <v>96</v>
      </c>
      <c r="G177" s="452" t="s">
        <v>361</v>
      </c>
      <c r="H177" s="406" t="s">
        <v>362</v>
      </c>
      <c r="I177" s="467" t="s">
        <v>101</v>
      </c>
      <c r="J177" s="505">
        <v>79540.789999999994</v>
      </c>
      <c r="M177" s="120" t="e">
        <f>#N/A</f>
        <v>#N/A</v>
      </c>
    </row>
    <row r="178" spans="1:13" ht="12.75">
      <c r="A178" s="248"/>
      <c r="B178" s="340"/>
      <c r="C178" s="331"/>
      <c r="D178" s="461" t="s">
        <v>48</v>
      </c>
      <c r="E178" s="406" t="s">
        <v>359</v>
      </c>
      <c r="F178" s="483" t="s">
        <v>96</v>
      </c>
      <c r="G178" s="452" t="s">
        <v>362</v>
      </c>
      <c r="H178" s="406" t="s">
        <v>359</v>
      </c>
      <c r="I178" s="467" t="s">
        <v>102</v>
      </c>
      <c r="J178" s="505">
        <v>238622.36</v>
      </c>
      <c r="M178" s="120" t="e">
        <f>#N/A</f>
        <v>#N/A</v>
      </c>
    </row>
    <row r="179" spans="1:13" ht="12.75">
      <c r="A179" s="248"/>
      <c r="B179" s="340"/>
      <c r="C179" s="331"/>
      <c r="D179" s="461" t="s">
        <v>48</v>
      </c>
      <c r="E179" s="406" t="s">
        <v>359</v>
      </c>
      <c r="F179" s="483" t="s">
        <v>96</v>
      </c>
      <c r="G179" s="452" t="s">
        <v>362</v>
      </c>
      <c r="H179" s="406" t="s">
        <v>360</v>
      </c>
      <c r="I179" s="467" t="s">
        <v>103</v>
      </c>
      <c r="J179" s="505">
        <v>477244.71</v>
      </c>
      <c r="M179" s="120" t="e">
        <f>#N/A</f>
        <v>#N/A</v>
      </c>
    </row>
    <row r="180" spans="1:13" ht="12.75">
      <c r="A180" s="248"/>
      <c r="B180" s="340"/>
      <c r="C180" s="331"/>
      <c r="D180" s="461" t="s">
        <v>48</v>
      </c>
      <c r="E180" s="406" t="s">
        <v>359</v>
      </c>
      <c r="F180" s="483" t="s">
        <v>96</v>
      </c>
      <c r="G180" s="452" t="s">
        <v>360</v>
      </c>
      <c r="H180" s="406" t="s">
        <v>358</v>
      </c>
      <c r="I180" s="467" t="s">
        <v>1002</v>
      </c>
      <c r="J180" s="505">
        <v>100000</v>
      </c>
      <c r="M180" s="120" t="e">
        <f>#N/A</f>
        <v>#N/A</v>
      </c>
    </row>
    <row r="181" spans="1:13" ht="12.75">
      <c r="A181" s="248"/>
      <c r="B181" s="340"/>
      <c r="C181" s="331"/>
      <c r="D181" s="461" t="s">
        <v>48</v>
      </c>
      <c r="E181" s="406" t="s">
        <v>359</v>
      </c>
      <c r="F181" s="483" t="s">
        <v>104</v>
      </c>
      <c r="G181" s="452" t="s">
        <v>362</v>
      </c>
      <c r="H181" s="406" t="s">
        <v>359</v>
      </c>
      <c r="I181" s="467" t="s">
        <v>105</v>
      </c>
      <c r="J181" s="505">
        <v>1000000</v>
      </c>
      <c r="M181" s="120" t="e">
        <f>#N/A</f>
        <v>#N/A</v>
      </c>
    </row>
    <row r="182" spans="1:13" ht="12.75">
      <c r="A182" s="248"/>
      <c r="B182" s="340"/>
      <c r="C182" s="331"/>
      <c r="D182" s="461" t="s">
        <v>48</v>
      </c>
      <c r="E182" s="406" t="s">
        <v>359</v>
      </c>
      <c r="F182" s="452" t="s">
        <v>104</v>
      </c>
      <c r="G182" s="406" t="s">
        <v>363</v>
      </c>
      <c r="H182" s="406" t="s">
        <v>358</v>
      </c>
      <c r="I182" s="447" t="s">
        <v>106</v>
      </c>
      <c r="J182" s="504">
        <v>449863.25</v>
      </c>
      <c r="K182" s="540"/>
      <c r="M182" s="120" t="e">
        <f>#N/A</f>
        <v>#N/A</v>
      </c>
    </row>
    <row r="183" spans="1:13" ht="12.75">
      <c r="A183" s="248"/>
      <c r="B183" s="340"/>
      <c r="C183" s="331"/>
      <c r="D183" s="461" t="s">
        <v>48</v>
      </c>
      <c r="E183" s="406" t="s">
        <v>359</v>
      </c>
      <c r="F183" s="452" t="s">
        <v>104</v>
      </c>
      <c r="G183" s="406" t="s">
        <v>107</v>
      </c>
      <c r="H183" s="406" t="s">
        <v>362</v>
      </c>
      <c r="I183" s="447" t="s">
        <v>1091</v>
      </c>
      <c r="J183" s="504">
        <v>1000000</v>
      </c>
      <c r="M183" s="120" t="e">
        <f>#N/A</f>
        <v>#N/A</v>
      </c>
    </row>
    <row r="184" spans="1:13" ht="12.75">
      <c r="A184" s="248"/>
      <c r="B184" s="340"/>
      <c r="C184" s="331"/>
      <c r="D184" s="461" t="s">
        <v>48</v>
      </c>
      <c r="E184" s="406" t="s">
        <v>359</v>
      </c>
      <c r="F184" s="452" t="s">
        <v>104</v>
      </c>
      <c r="G184" s="406" t="s">
        <v>107</v>
      </c>
      <c r="H184" s="406" t="s">
        <v>109</v>
      </c>
      <c r="I184" s="447" t="s">
        <v>1142</v>
      </c>
      <c r="J184" s="504">
        <v>500000</v>
      </c>
    </row>
    <row r="185" spans="1:13" ht="12.75">
      <c r="A185" s="248"/>
      <c r="B185" s="340"/>
      <c r="C185" s="331"/>
      <c r="D185" s="461" t="s">
        <v>48</v>
      </c>
      <c r="E185" s="406" t="s">
        <v>359</v>
      </c>
      <c r="F185" s="452" t="s">
        <v>104</v>
      </c>
      <c r="G185" s="406" t="s">
        <v>365</v>
      </c>
      <c r="H185" s="406" t="s">
        <v>109</v>
      </c>
      <c r="I185" s="447" t="s">
        <v>546</v>
      </c>
      <c r="J185" s="504">
        <v>50000</v>
      </c>
      <c r="M185" s="120" t="e">
        <f>#N/A</f>
        <v>#N/A</v>
      </c>
    </row>
    <row r="186" spans="1:13" ht="12.75">
      <c r="A186" s="248"/>
      <c r="B186" s="340"/>
      <c r="C186" s="331"/>
      <c r="D186" s="461" t="s">
        <v>48</v>
      </c>
      <c r="E186" s="406" t="s">
        <v>359</v>
      </c>
      <c r="F186" s="452" t="s">
        <v>108</v>
      </c>
      <c r="G186" s="406" t="s">
        <v>358</v>
      </c>
      <c r="H186" s="406" t="s">
        <v>358</v>
      </c>
      <c r="I186" s="447" t="s">
        <v>677</v>
      </c>
      <c r="J186" s="504">
        <v>5000000</v>
      </c>
      <c r="M186" s="120" t="e">
        <f>#N/A</f>
        <v>#N/A</v>
      </c>
    </row>
    <row r="187" spans="1:13" ht="12.75">
      <c r="A187" s="248"/>
      <c r="B187" s="340"/>
      <c r="C187" s="331"/>
      <c r="D187" s="461" t="s">
        <v>48</v>
      </c>
      <c r="E187" s="406" t="s">
        <v>359</v>
      </c>
      <c r="F187" s="452" t="s">
        <v>108</v>
      </c>
      <c r="G187" s="406" t="s">
        <v>361</v>
      </c>
      <c r="H187" s="406" t="s">
        <v>359</v>
      </c>
      <c r="I187" s="447" t="s">
        <v>1143</v>
      </c>
      <c r="J187" s="504">
        <v>3229303.12</v>
      </c>
      <c r="M187" s="120" t="e">
        <f>#N/A</f>
        <v>#N/A</v>
      </c>
    </row>
    <row r="188" spans="1:13" ht="12.75">
      <c r="A188" s="248"/>
      <c r="B188" s="340"/>
      <c r="C188" s="331"/>
      <c r="D188" s="461" t="s">
        <v>48</v>
      </c>
      <c r="E188" s="406" t="s">
        <v>359</v>
      </c>
      <c r="F188" s="452" t="s">
        <v>108</v>
      </c>
      <c r="G188" s="406" t="s">
        <v>109</v>
      </c>
      <c r="H188" s="406" t="s">
        <v>361</v>
      </c>
      <c r="I188" s="447" t="s">
        <v>437</v>
      </c>
      <c r="J188" s="504">
        <v>500000</v>
      </c>
      <c r="M188" s="120" t="e">
        <f>#N/A</f>
        <v>#N/A</v>
      </c>
    </row>
    <row r="189" spans="1:13" ht="12.75">
      <c r="A189" s="248"/>
      <c r="B189" s="340"/>
      <c r="C189" s="331"/>
      <c r="D189" s="461" t="s">
        <v>48</v>
      </c>
      <c r="E189" s="406" t="s">
        <v>359</v>
      </c>
      <c r="F189" s="452" t="s">
        <v>108</v>
      </c>
      <c r="G189" s="406" t="s">
        <v>109</v>
      </c>
      <c r="H189" s="406" t="s">
        <v>362</v>
      </c>
      <c r="I189" s="447" t="s">
        <v>896</v>
      </c>
      <c r="J189" s="504">
        <v>300000</v>
      </c>
      <c r="M189" s="120" t="e">
        <f>#N/A</f>
        <v>#N/A</v>
      </c>
    </row>
    <row r="190" spans="1:13" ht="12.75">
      <c r="A190" s="248"/>
      <c r="B190" s="340"/>
      <c r="C190" s="331"/>
      <c r="D190" s="461" t="s">
        <v>48</v>
      </c>
      <c r="E190" s="406" t="s">
        <v>359</v>
      </c>
      <c r="F190" s="452" t="s">
        <v>108</v>
      </c>
      <c r="G190" s="406" t="s">
        <v>109</v>
      </c>
      <c r="H190" s="406" t="s">
        <v>363</v>
      </c>
      <c r="I190" s="482" t="s">
        <v>1092</v>
      </c>
      <c r="J190" s="505">
        <v>200000</v>
      </c>
      <c r="K190" s="120">
        <f>+C170*10%</f>
        <v>13926200</v>
      </c>
      <c r="M190" s="120" t="e">
        <f>#N/A</f>
        <v>#N/A</v>
      </c>
    </row>
    <row r="191" spans="1:13" ht="12.75">
      <c r="A191" s="248"/>
      <c r="B191" s="340"/>
      <c r="C191" s="331"/>
      <c r="D191" s="461" t="s">
        <v>48</v>
      </c>
      <c r="E191" s="406" t="s">
        <v>359</v>
      </c>
      <c r="F191" s="452" t="s">
        <v>120</v>
      </c>
      <c r="G191" s="452" t="s">
        <v>358</v>
      </c>
      <c r="H191" s="406" t="s">
        <v>109</v>
      </c>
      <c r="I191" s="407" t="s">
        <v>1144</v>
      </c>
      <c r="J191" s="505">
        <v>800000</v>
      </c>
      <c r="K191" s="120"/>
      <c r="M191" s="120" t="e">
        <f>#N/A</f>
        <v>#N/A</v>
      </c>
    </row>
    <row r="192" spans="1:13" ht="12.75">
      <c r="A192" s="248"/>
      <c r="B192" s="340"/>
      <c r="C192" s="331"/>
      <c r="D192" s="461" t="s">
        <v>433</v>
      </c>
      <c r="E192" s="405" t="s">
        <v>358</v>
      </c>
      <c r="F192" s="483" t="s">
        <v>96</v>
      </c>
      <c r="G192" s="452" t="s">
        <v>361</v>
      </c>
      <c r="H192" s="406" t="s">
        <v>358</v>
      </c>
      <c r="I192" s="467" t="s">
        <v>100</v>
      </c>
      <c r="J192" s="505">
        <v>4808705.29</v>
      </c>
      <c r="K192" s="120">
        <f>+J192</f>
        <v>4808705.29</v>
      </c>
      <c r="L192" s="120">
        <f>+J192</f>
        <v>4808705.29</v>
      </c>
    </row>
    <row r="193" spans="1:13" ht="12.75">
      <c r="A193" s="248"/>
      <c r="B193" s="340"/>
      <c r="C193" s="331"/>
      <c r="D193" s="461" t="s">
        <v>433</v>
      </c>
      <c r="E193" s="405" t="s">
        <v>361</v>
      </c>
      <c r="F193" s="452" t="s">
        <v>1136</v>
      </c>
      <c r="G193" s="452" t="s">
        <v>359</v>
      </c>
      <c r="H193" s="405" t="s">
        <v>362</v>
      </c>
      <c r="I193" s="467" t="s">
        <v>1137</v>
      </c>
      <c r="J193" s="505">
        <f>+'Deuda Interna'!C13</f>
        <v>28973967.510000002</v>
      </c>
      <c r="K193" s="120"/>
      <c r="L193" s="120">
        <f>+J193</f>
        <v>28973967.510000002</v>
      </c>
    </row>
    <row r="194" spans="1:13" ht="12.75">
      <c r="A194" s="248"/>
      <c r="B194" s="340"/>
      <c r="C194" s="331"/>
      <c r="D194" s="461" t="s">
        <v>433</v>
      </c>
      <c r="E194" s="405" t="s">
        <v>361</v>
      </c>
      <c r="F194" s="452" t="s">
        <v>73</v>
      </c>
      <c r="G194" s="452" t="s">
        <v>359</v>
      </c>
      <c r="H194" s="405" t="s">
        <v>362</v>
      </c>
      <c r="I194" s="465" t="s">
        <v>1138</v>
      </c>
      <c r="J194" s="504">
        <f>+'Deuda Interna'!D13</f>
        <v>94201402.430000007</v>
      </c>
      <c r="K194" s="120"/>
      <c r="L194" s="120">
        <f>+J194</f>
        <v>94201402.430000007</v>
      </c>
    </row>
    <row r="195" spans="1:13" ht="12.75">
      <c r="A195" s="249"/>
      <c r="B195" s="341"/>
      <c r="C195" s="531"/>
      <c r="D195" s="481"/>
      <c r="E195" s="484"/>
      <c r="F195" s="487"/>
      <c r="G195" s="450"/>
      <c r="H195" s="449"/>
      <c r="I195" s="455"/>
      <c r="J195" s="501">
        <v>0</v>
      </c>
      <c r="K195" s="120">
        <f>+K190-K192</f>
        <v>9117494.7100000009</v>
      </c>
      <c r="L195" s="120">
        <f>+J195</f>
        <v>0</v>
      </c>
    </row>
    <row r="196" spans="1:13" ht="38.25">
      <c r="A196" s="248" t="s">
        <v>991</v>
      </c>
      <c r="B196" s="259" t="s">
        <v>33</v>
      </c>
      <c r="C196" s="68">
        <v>5000000</v>
      </c>
      <c r="D196" s="457" t="s">
        <v>48</v>
      </c>
      <c r="E196" s="452" t="s">
        <v>366</v>
      </c>
      <c r="F196" s="406" t="s">
        <v>96</v>
      </c>
      <c r="G196" s="406" t="s">
        <v>358</v>
      </c>
      <c r="H196" s="406" t="s">
        <v>358</v>
      </c>
      <c r="I196" s="465" t="s">
        <v>1093</v>
      </c>
      <c r="J196" s="505">
        <f>3355909.2-J70</f>
        <v>3355909.2</v>
      </c>
      <c r="K196" s="120">
        <f>+C196</f>
        <v>5000000</v>
      </c>
      <c r="M196" s="120" t="e">
        <f>#N/A</f>
        <v>#N/A</v>
      </c>
    </row>
    <row r="197" spans="1:13" ht="12.75">
      <c r="A197" s="248"/>
      <c r="B197" s="259"/>
      <c r="C197" s="68"/>
      <c r="D197" s="457" t="s">
        <v>48</v>
      </c>
      <c r="E197" s="452" t="s">
        <v>366</v>
      </c>
      <c r="F197" s="406" t="s">
        <v>96</v>
      </c>
      <c r="G197" s="406" t="s">
        <v>358</v>
      </c>
      <c r="H197" s="406" t="s">
        <v>362</v>
      </c>
      <c r="I197" s="465" t="s">
        <v>442</v>
      </c>
      <c r="J197" s="505">
        <v>279659.09999999998</v>
      </c>
      <c r="K197" s="120"/>
      <c r="M197" s="120" t="e">
        <f>#N/A</f>
        <v>#N/A</v>
      </c>
    </row>
    <row r="198" spans="1:13" ht="12.75">
      <c r="A198" s="248"/>
      <c r="B198" s="259"/>
      <c r="C198" s="68"/>
      <c r="D198" s="457" t="s">
        <v>48</v>
      </c>
      <c r="E198" s="452" t="s">
        <v>366</v>
      </c>
      <c r="F198" s="406" t="s">
        <v>96</v>
      </c>
      <c r="G198" s="406" t="s">
        <v>360</v>
      </c>
      <c r="H198" s="406" t="s">
        <v>358</v>
      </c>
      <c r="I198" s="465" t="s">
        <v>1094</v>
      </c>
      <c r="J198" s="505">
        <v>598470.47</v>
      </c>
      <c r="K198" s="120"/>
      <c r="M198" s="120" t="e">
        <f>#N/A</f>
        <v>#N/A</v>
      </c>
    </row>
    <row r="199" spans="1:13" ht="12.75">
      <c r="A199" s="248"/>
      <c r="B199" s="259"/>
      <c r="C199" s="68"/>
      <c r="D199" s="457" t="s">
        <v>48</v>
      </c>
      <c r="E199" s="452" t="s">
        <v>366</v>
      </c>
      <c r="F199" s="406" t="s">
        <v>96</v>
      </c>
      <c r="G199" s="406" t="s">
        <v>360</v>
      </c>
      <c r="H199" s="406" t="s">
        <v>360</v>
      </c>
      <c r="I199" s="465" t="s">
        <v>99</v>
      </c>
      <c r="J199" s="505">
        <v>352836.66</v>
      </c>
      <c r="K199" s="120">
        <f>SUM(J196:J208)</f>
        <v>6018363.9500000011</v>
      </c>
      <c r="M199" s="120" t="e">
        <f>#N/A</f>
        <v>#N/A</v>
      </c>
    </row>
    <row r="200" spans="1:13" ht="12.75">
      <c r="A200" s="248"/>
      <c r="B200" s="259"/>
      <c r="C200" s="68"/>
      <c r="D200" s="457" t="s">
        <v>48</v>
      </c>
      <c r="E200" s="452" t="s">
        <v>366</v>
      </c>
      <c r="F200" s="406" t="s">
        <v>96</v>
      </c>
      <c r="G200" s="406" t="s">
        <v>361</v>
      </c>
      <c r="H200" s="406" t="s">
        <v>358</v>
      </c>
      <c r="I200" s="465" t="s">
        <v>100</v>
      </c>
      <c r="J200" s="505">
        <v>592765.43000000005</v>
      </c>
      <c r="K200" s="120">
        <f>+K196-K199</f>
        <v>-1018363.9500000011</v>
      </c>
      <c r="M200" s="120" t="e">
        <f>#N/A</f>
        <v>#N/A</v>
      </c>
    </row>
    <row r="201" spans="1:13" ht="12.75">
      <c r="A201" s="248"/>
      <c r="B201" s="259"/>
      <c r="C201" s="68"/>
      <c r="D201" s="457" t="s">
        <v>48</v>
      </c>
      <c r="E201" s="452" t="s">
        <v>366</v>
      </c>
      <c r="F201" s="406" t="s">
        <v>96</v>
      </c>
      <c r="G201" s="406" t="s">
        <v>361</v>
      </c>
      <c r="H201" s="406" t="s">
        <v>362</v>
      </c>
      <c r="I201" s="465" t="s">
        <v>101</v>
      </c>
      <c r="J201" s="505">
        <v>21170.19</v>
      </c>
      <c r="K201" s="120"/>
      <c r="M201" s="120" t="e">
        <f>#N/A</f>
        <v>#N/A</v>
      </c>
    </row>
    <row r="202" spans="1:13" ht="12.75">
      <c r="A202" s="248"/>
      <c r="B202" s="259"/>
      <c r="C202" s="68"/>
      <c r="D202" s="457" t="s">
        <v>48</v>
      </c>
      <c r="E202" s="452" t="s">
        <v>366</v>
      </c>
      <c r="F202" s="406" t="s">
        <v>96</v>
      </c>
      <c r="G202" s="406" t="s">
        <v>362</v>
      </c>
      <c r="H202" s="406" t="s">
        <v>359</v>
      </c>
      <c r="I202" s="465" t="s">
        <v>102</v>
      </c>
      <c r="J202" s="505">
        <v>63510.58</v>
      </c>
      <c r="K202" s="120"/>
      <c r="M202" s="120" t="e">
        <f>#N/A</f>
        <v>#N/A</v>
      </c>
    </row>
    <row r="203" spans="1:13" ht="12.75">
      <c r="A203" s="248"/>
      <c r="B203" s="259"/>
      <c r="C203" s="68"/>
      <c r="D203" s="457" t="s">
        <v>48</v>
      </c>
      <c r="E203" s="452" t="s">
        <v>366</v>
      </c>
      <c r="F203" s="406" t="s">
        <v>96</v>
      </c>
      <c r="G203" s="406" t="s">
        <v>362</v>
      </c>
      <c r="H203" s="406" t="s">
        <v>360</v>
      </c>
      <c r="I203" s="465" t="s">
        <v>103</v>
      </c>
      <c r="J203" s="505">
        <v>127021.16</v>
      </c>
      <c r="K203" s="120"/>
      <c r="M203" s="120" t="e">
        <f>#N/A</f>
        <v>#N/A</v>
      </c>
    </row>
    <row r="204" spans="1:13" ht="12.75">
      <c r="A204" s="248"/>
      <c r="B204" s="259"/>
      <c r="C204" s="68"/>
      <c r="D204" s="457" t="s">
        <v>48</v>
      </c>
      <c r="E204" s="452" t="s">
        <v>366</v>
      </c>
      <c r="F204" s="483" t="s">
        <v>104</v>
      </c>
      <c r="G204" s="452" t="s">
        <v>363</v>
      </c>
      <c r="H204" s="406" t="s">
        <v>358</v>
      </c>
      <c r="I204" s="447" t="s">
        <v>106</v>
      </c>
      <c r="J204" s="505">
        <v>127021.16</v>
      </c>
      <c r="K204" s="120"/>
      <c r="M204" s="120" t="e">
        <f>#N/A</f>
        <v>#N/A</v>
      </c>
    </row>
    <row r="205" spans="1:13" ht="12.75">
      <c r="A205" s="248"/>
      <c r="B205" s="259"/>
      <c r="C205" s="68"/>
      <c r="D205" s="457" t="s">
        <v>48</v>
      </c>
      <c r="E205" s="452" t="s">
        <v>366</v>
      </c>
      <c r="F205" s="452" t="s">
        <v>104</v>
      </c>
      <c r="G205" s="452" t="s">
        <v>107</v>
      </c>
      <c r="H205" s="405" t="s">
        <v>358</v>
      </c>
      <c r="I205" s="447" t="s">
        <v>1078</v>
      </c>
      <c r="J205" s="505">
        <v>0</v>
      </c>
      <c r="K205" s="120"/>
      <c r="M205" s="120" t="e">
        <f>#N/A</f>
        <v>#N/A</v>
      </c>
    </row>
    <row r="206" spans="1:13" ht="12.75">
      <c r="A206" s="248"/>
      <c r="B206" s="259"/>
      <c r="C206" s="68"/>
      <c r="D206" s="457" t="s">
        <v>48</v>
      </c>
      <c r="E206" s="452" t="s">
        <v>366</v>
      </c>
      <c r="F206" s="405" t="s">
        <v>108</v>
      </c>
      <c r="G206" s="405" t="s">
        <v>358</v>
      </c>
      <c r="H206" s="405" t="s">
        <v>358</v>
      </c>
      <c r="I206" s="465" t="s">
        <v>677</v>
      </c>
      <c r="J206" s="505">
        <v>0</v>
      </c>
      <c r="K206" s="120"/>
      <c r="M206" s="120" t="e">
        <f>#N/A</f>
        <v>#N/A</v>
      </c>
    </row>
    <row r="207" spans="1:13" ht="12.75">
      <c r="A207" s="248"/>
      <c r="B207" s="259"/>
      <c r="C207" s="68"/>
      <c r="D207" s="461" t="s">
        <v>433</v>
      </c>
      <c r="E207" s="405" t="s">
        <v>358</v>
      </c>
      <c r="F207" s="483" t="s">
        <v>96</v>
      </c>
      <c r="G207" s="452" t="s">
        <v>361</v>
      </c>
      <c r="H207" s="406" t="s">
        <v>358</v>
      </c>
      <c r="I207" s="467" t="s">
        <v>100</v>
      </c>
      <c r="J207" s="505">
        <v>500000</v>
      </c>
      <c r="K207" s="120"/>
      <c r="L207" s="120">
        <f>+J207</f>
        <v>500000</v>
      </c>
    </row>
    <row r="208" spans="1:13" ht="12.75">
      <c r="A208" s="248"/>
      <c r="B208" s="259"/>
      <c r="C208" s="68"/>
      <c r="D208" s="461"/>
      <c r="E208" s="406"/>
      <c r="F208" s="450"/>
      <c r="G208" s="449"/>
      <c r="H208" s="449"/>
      <c r="I208" s="467"/>
      <c r="J208" s="501">
        <v>0</v>
      </c>
      <c r="K208" s="260"/>
      <c r="L208" s="120">
        <f>+J208</f>
        <v>0</v>
      </c>
    </row>
    <row r="209" spans="1:13" ht="25.5">
      <c r="A209" s="246" t="s">
        <v>997</v>
      </c>
      <c r="B209" s="258" t="s">
        <v>1000</v>
      </c>
      <c r="C209" s="83">
        <v>140000</v>
      </c>
      <c r="D209" s="456" t="s">
        <v>48</v>
      </c>
      <c r="E209" s="454" t="s">
        <v>361</v>
      </c>
      <c r="F209" s="485" t="s">
        <v>104</v>
      </c>
      <c r="G209" s="404" t="s">
        <v>108</v>
      </c>
      <c r="H209" s="454" t="s">
        <v>358</v>
      </c>
      <c r="I209" s="486" t="s">
        <v>112</v>
      </c>
      <c r="J209" s="496">
        <v>50000</v>
      </c>
      <c r="K209" s="120">
        <f>+C209</f>
        <v>140000</v>
      </c>
      <c r="M209" s="120">
        <f>+J209</f>
        <v>50000</v>
      </c>
    </row>
    <row r="210" spans="1:13" ht="12.75">
      <c r="A210" s="248"/>
      <c r="B210" s="259"/>
      <c r="C210" s="68"/>
      <c r="D210" s="457" t="s">
        <v>48</v>
      </c>
      <c r="E210" s="406" t="s">
        <v>361</v>
      </c>
      <c r="F210" s="483" t="s">
        <v>108</v>
      </c>
      <c r="G210" s="452" t="s">
        <v>358</v>
      </c>
      <c r="H210" s="406" t="s">
        <v>358</v>
      </c>
      <c r="I210" s="465" t="s">
        <v>677</v>
      </c>
      <c r="J210" s="504">
        <v>90000</v>
      </c>
      <c r="K210" s="120">
        <f>+J209+J210</f>
        <v>140000</v>
      </c>
      <c r="M210" s="120">
        <f>+J210</f>
        <v>90000</v>
      </c>
    </row>
    <row r="211" spans="1:13" ht="4.5" customHeight="1">
      <c r="A211" s="248"/>
      <c r="B211" s="259"/>
      <c r="C211" s="68"/>
      <c r="D211" s="457"/>
      <c r="E211" s="406"/>
      <c r="F211" s="483"/>
      <c r="G211" s="452"/>
      <c r="H211" s="406"/>
      <c r="I211" s="465"/>
      <c r="J211" s="469"/>
      <c r="K211" s="120">
        <f>+K209-K210</f>
        <v>0</v>
      </c>
    </row>
    <row r="212" spans="1:13" ht="4.5" customHeight="1">
      <c r="A212" s="510"/>
      <c r="B212" s="511"/>
      <c r="C212" s="83"/>
      <c r="D212" s="453"/>
      <c r="E212" s="404"/>
      <c r="F212" s="404"/>
      <c r="G212" s="404"/>
      <c r="H212" s="404"/>
      <c r="I212" s="479"/>
      <c r="J212" s="77"/>
      <c r="K212" s="120"/>
    </row>
    <row r="213" spans="1:13" ht="4.5" customHeight="1">
      <c r="A213" s="508"/>
      <c r="B213" s="509"/>
      <c r="C213" s="68"/>
      <c r="D213" s="451"/>
      <c r="E213" s="452"/>
      <c r="F213" s="452"/>
      <c r="G213" s="452"/>
      <c r="H213" s="452"/>
      <c r="I213" s="467"/>
      <c r="J213" s="398"/>
      <c r="K213" s="120"/>
    </row>
    <row r="214" spans="1:13" ht="4.5" customHeight="1">
      <c r="A214" s="508"/>
      <c r="B214" s="509"/>
      <c r="C214" s="68"/>
      <c r="D214" s="451"/>
      <c r="E214" s="452"/>
      <c r="F214" s="452"/>
      <c r="G214" s="452"/>
      <c r="H214" s="452"/>
      <c r="I214" s="467"/>
      <c r="J214" s="398"/>
      <c r="K214" s="120"/>
    </row>
    <row r="215" spans="1:13" ht="4.5" customHeight="1">
      <c r="A215" s="508"/>
      <c r="B215" s="509"/>
      <c r="C215" s="68"/>
      <c r="D215" s="451"/>
      <c r="E215" s="452"/>
      <c r="F215" s="452"/>
      <c r="G215" s="452"/>
      <c r="H215" s="452"/>
      <c r="I215" s="467"/>
      <c r="J215" s="398"/>
      <c r="K215" s="120"/>
    </row>
    <row r="216" spans="1:13" ht="4.5" customHeight="1">
      <c r="A216" s="508"/>
      <c r="B216" s="509"/>
      <c r="C216" s="68"/>
      <c r="D216" s="451"/>
      <c r="E216" s="452"/>
      <c r="F216" s="452"/>
      <c r="G216" s="452"/>
      <c r="H216" s="452"/>
      <c r="I216" s="467"/>
      <c r="J216" s="398"/>
      <c r="K216" s="120"/>
    </row>
    <row r="217" spans="1:13" ht="48" customHeight="1">
      <c r="A217" s="508"/>
      <c r="B217" s="509"/>
      <c r="C217" s="68"/>
      <c r="D217" s="451"/>
      <c r="E217" s="452"/>
      <c r="F217" s="452"/>
      <c r="G217" s="452"/>
      <c r="H217" s="452"/>
      <c r="I217" s="467"/>
      <c r="J217" s="398"/>
      <c r="K217" s="120"/>
    </row>
    <row r="218" spans="1:13" ht="4.5" customHeight="1">
      <c r="A218" s="508"/>
      <c r="B218" s="509"/>
      <c r="C218" s="68"/>
      <c r="D218" s="451"/>
      <c r="E218" s="452"/>
      <c r="F218" s="452"/>
      <c r="G218" s="452"/>
      <c r="H218" s="452"/>
      <c r="I218" s="467"/>
      <c r="J218" s="398"/>
      <c r="K218" s="120"/>
    </row>
    <row r="219" spans="1:13" ht="63" customHeight="1">
      <c r="A219" s="508"/>
      <c r="B219" s="509"/>
      <c r="C219" s="68"/>
      <c r="D219" s="451"/>
      <c r="E219" s="452"/>
      <c r="F219" s="452"/>
      <c r="G219" s="452"/>
      <c r="H219" s="452"/>
      <c r="I219" s="467"/>
      <c r="J219" s="398"/>
      <c r="K219" s="120"/>
    </row>
    <row r="220" spans="1:13" ht="4.5" customHeight="1">
      <c r="A220" s="508"/>
      <c r="B220" s="509"/>
      <c r="C220" s="68"/>
      <c r="D220" s="451"/>
      <c r="E220" s="452"/>
      <c r="F220" s="452"/>
      <c r="G220" s="452"/>
      <c r="H220" s="452"/>
      <c r="I220" s="467"/>
      <c r="J220" s="398"/>
      <c r="K220" s="120"/>
    </row>
    <row r="221" spans="1:13" ht="24" customHeight="1">
      <c r="A221" s="508"/>
      <c r="B221" s="509"/>
      <c r="C221" s="68"/>
      <c r="D221" s="451"/>
      <c r="E221" s="452"/>
      <c r="F221" s="452"/>
      <c r="G221" s="452"/>
      <c r="H221" s="452"/>
      <c r="I221" s="467"/>
      <c r="J221" s="398"/>
      <c r="K221" s="120"/>
    </row>
    <row r="222" spans="1:13" ht="20.25" customHeight="1">
      <c r="A222" s="508"/>
      <c r="B222" s="509"/>
      <c r="C222" s="68"/>
      <c r="D222" s="451"/>
      <c r="E222" s="452"/>
      <c r="F222" s="452"/>
      <c r="G222" s="452"/>
      <c r="H222" s="452"/>
      <c r="I222" s="467"/>
      <c r="J222" s="398"/>
      <c r="K222" s="120"/>
    </row>
    <row r="223" spans="1:13" ht="28.5" customHeight="1">
      <c r="A223" s="512"/>
      <c r="B223" s="513"/>
      <c r="C223" s="84"/>
      <c r="D223" s="448"/>
      <c r="E223" s="450"/>
      <c r="F223" s="450"/>
      <c r="G223" s="450"/>
      <c r="H223" s="450"/>
      <c r="I223" s="490"/>
      <c r="J223" s="394">
        <v>8</v>
      </c>
      <c r="K223" s="120"/>
    </row>
    <row r="224" spans="1:13" ht="39" customHeight="1">
      <c r="A224" s="248" t="s">
        <v>1018</v>
      </c>
      <c r="B224" s="259" t="s">
        <v>1019</v>
      </c>
      <c r="C224" s="68">
        <v>15000000</v>
      </c>
      <c r="D224" s="405" t="s">
        <v>433</v>
      </c>
      <c r="E224" s="405" t="s">
        <v>358</v>
      </c>
      <c r="F224" s="405" t="s">
        <v>96</v>
      </c>
      <c r="G224" s="333" t="s">
        <v>360</v>
      </c>
      <c r="H224" s="335" t="s">
        <v>360</v>
      </c>
      <c r="I224" s="465" t="s">
        <v>99</v>
      </c>
      <c r="J224" s="505">
        <v>0</v>
      </c>
      <c r="K224" s="260">
        <f>+C224</f>
        <v>15000000</v>
      </c>
      <c r="L224" s="120">
        <f>+J224</f>
        <v>0</v>
      </c>
    </row>
    <row r="225" spans="1:15" ht="13.5" customHeight="1">
      <c r="A225" s="248"/>
      <c r="B225" s="259"/>
      <c r="C225" s="68"/>
      <c r="D225" s="405" t="s">
        <v>433</v>
      </c>
      <c r="E225" s="405" t="s">
        <v>358</v>
      </c>
      <c r="F225" s="405" t="s">
        <v>96</v>
      </c>
      <c r="G225" s="333" t="s">
        <v>360</v>
      </c>
      <c r="H225" s="335" t="s">
        <v>109</v>
      </c>
      <c r="I225" s="465" t="s">
        <v>1112</v>
      </c>
      <c r="J225" s="505">
        <v>0</v>
      </c>
      <c r="K225" s="260"/>
      <c r="L225" s="120">
        <f>+J225</f>
        <v>0</v>
      </c>
      <c r="O225" s="120">
        <f>13018308.58-J96-J140-J166-J192-J207</f>
        <v>7059603.29</v>
      </c>
    </row>
    <row r="226" spans="1:15" ht="15.75" customHeight="1">
      <c r="A226" s="248"/>
      <c r="B226" s="259"/>
      <c r="C226" s="68"/>
      <c r="D226" s="461" t="s">
        <v>433</v>
      </c>
      <c r="E226" s="405" t="s">
        <v>358</v>
      </c>
      <c r="F226" s="406" t="s">
        <v>96</v>
      </c>
      <c r="G226" s="406" t="s">
        <v>361</v>
      </c>
      <c r="H226" s="406" t="s">
        <v>358</v>
      </c>
      <c r="I226" s="465" t="s">
        <v>100</v>
      </c>
      <c r="J226" s="505">
        <v>1330415.53</v>
      </c>
      <c r="K226" s="260"/>
      <c r="L226" s="120">
        <f>+J226</f>
        <v>1330415.53</v>
      </c>
    </row>
    <row r="227" spans="1:15" ht="17.25" customHeight="1">
      <c r="A227" s="248"/>
      <c r="B227" s="259"/>
      <c r="C227" s="68"/>
      <c r="D227" s="405" t="s">
        <v>433</v>
      </c>
      <c r="E227" s="405" t="s">
        <v>358</v>
      </c>
      <c r="F227" s="406" t="s">
        <v>96</v>
      </c>
      <c r="G227" s="452" t="s">
        <v>361</v>
      </c>
      <c r="H227" s="406" t="s">
        <v>362</v>
      </c>
      <c r="I227" s="465" t="s">
        <v>101</v>
      </c>
      <c r="J227" s="505">
        <v>464939.59</v>
      </c>
      <c r="K227" s="260">
        <f>SUM(J224:J244)</f>
        <v>14999999.999999998</v>
      </c>
      <c r="L227" s="120" t="e">
        <f>#N/A</f>
        <v>#N/A</v>
      </c>
    </row>
    <row r="228" spans="1:15" ht="17.25" customHeight="1">
      <c r="A228" s="248"/>
      <c r="B228" s="259"/>
      <c r="C228" s="68"/>
      <c r="D228" s="405" t="s">
        <v>433</v>
      </c>
      <c r="E228" s="405" t="s">
        <v>358</v>
      </c>
      <c r="F228" s="406" t="s">
        <v>96</v>
      </c>
      <c r="G228" s="452" t="s">
        <v>362</v>
      </c>
      <c r="H228" s="406" t="s">
        <v>359</v>
      </c>
      <c r="I228" s="465" t="s">
        <v>102</v>
      </c>
      <c r="J228" s="505">
        <v>1394818.78</v>
      </c>
      <c r="K228" s="260">
        <f>+K224-K227</f>
        <v>0</v>
      </c>
      <c r="L228" s="120" t="e">
        <f>#N/A</f>
        <v>#N/A</v>
      </c>
    </row>
    <row r="229" spans="1:15" ht="17.25" customHeight="1">
      <c r="A229" s="248"/>
      <c r="B229" s="259"/>
      <c r="C229" s="68"/>
      <c r="D229" s="405" t="s">
        <v>433</v>
      </c>
      <c r="E229" s="405" t="s">
        <v>358</v>
      </c>
      <c r="F229" s="406" t="s">
        <v>96</v>
      </c>
      <c r="G229" s="452" t="s">
        <v>362</v>
      </c>
      <c r="H229" s="406" t="s">
        <v>360</v>
      </c>
      <c r="I229" s="465" t="s">
        <v>103</v>
      </c>
      <c r="J229" s="505">
        <v>2789637.55</v>
      </c>
      <c r="K229" s="260"/>
      <c r="L229" s="120" t="e">
        <f>#N/A</f>
        <v>#N/A</v>
      </c>
    </row>
    <row r="230" spans="1:15" ht="17.25" customHeight="1">
      <c r="A230" s="248"/>
      <c r="B230" s="259"/>
      <c r="C230" s="68"/>
      <c r="D230" s="405" t="s">
        <v>433</v>
      </c>
      <c r="E230" s="405" t="s">
        <v>358</v>
      </c>
      <c r="F230" s="483" t="s">
        <v>104</v>
      </c>
      <c r="G230" s="452" t="s">
        <v>359</v>
      </c>
      <c r="H230" s="406" t="s">
        <v>358</v>
      </c>
      <c r="I230" s="447" t="s">
        <v>1077</v>
      </c>
      <c r="J230" s="505">
        <v>600000</v>
      </c>
      <c r="K230" s="260"/>
      <c r="L230" s="120" t="e">
        <f>#N/A</f>
        <v>#N/A</v>
      </c>
    </row>
    <row r="231" spans="1:15" ht="17.25" customHeight="1">
      <c r="A231" s="248"/>
      <c r="B231" s="259"/>
      <c r="C231" s="68"/>
      <c r="D231" s="405" t="s">
        <v>433</v>
      </c>
      <c r="E231" s="405" t="s">
        <v>358</v>
      </c>
      <c r="F231" s="406" t="s">
        <v>96</v>
      </c>
      <c r="G231" s="452" t="s">
        <v>359</v>
      </c>
      <c r="H231" s="406" t="s">
        <v>359</v>
      </c>
      <c r="I231" s="447" t="s">
        <v>1102</v>
      </c>
      <c r="J231" s="505">
        <v>2500000</v>
      </c>
      <c r="K231" s="260"/>
      <c r="L231" s="120" t="e">
        <f>#N/A</f>
        <v>#N/A</v>
      </c>
    </row>
    <row r="232" spans="1:15" ht="17.25" customHeight="1">
      <c r="A232" s="248"/>
      <c r="B232" s="259"/>
      <c r="C232" s="68"/>
      <c r="D232" s="405" t="s">
        <v>433</v>
      </c>
      <c r="E232" s="405" t="s">
        <v>358</v>
      </c>
      <c r="F232" s="406" t="s">
        <v>96</v>
      </c>
      <c r="G232" s="452" t="s">
        <v>359</v>
      </c>
      <c r="H232" s="406" t="s">
        <v>361</v>
      </c>
      <c r="I232" s="447" t="s">
        <v>114</v>
      </c>
      <c r="J232" s="505">
        <v>800000</v>
      </c>
      <c r="K232" s="260"/>
      <c r="L232" s="120" t="e">
        <f>#N/A</f>
        <v>#N/A</v>
      </c>
    </row>
    <row r="233" spans="1:15" ht="17.25" customHeight="1">
      <c r="A233" s="248"/>
      <c r="B233" s="259"/>
      <c r="C233" s="68"/>
      <c r="D233" s="405" t="s">
        <v>433</v>
      </c>
      <c r="E233" s="405" t="s">
        <v>358</v>
      </c>
      <c r="F233" s="406" t="s">
        <v>104</v>
      </c>
      <c r="G233" s="452" t="s">
        <v>360</v>
      </c>
      <c r="H233" s="406" t="s">
        <v>358</v>
      </c>
      <c r="I233" s="447" t="s">
        <v>1002</v>
      </c>
      <c r="J233" s="505">
        <v>1000000</v>
      </c>
      <c r="K233" s="260"/>
      <c r="L233" s="120" t="e">
        <f>#N/A</f>
        <v>#N/A</v>
      </c>
    </row>
    <row r="234" spans="1:15" ht="17.25" customHeight="1">
      <c r="A234" s="248"/>
      <c r="B234" s="259"/>
      <c r="C234" s="68"/>
      <c r="D234" s="405" t="s">
        <v>433</v>
      </c>
      <c r="E234" s="405" t="s">
        <v>358</v>
      </c>
      <c r="F234" s="406" t="s">
        <v>104</v>
      </c>
      <c r="G234" s="406" t="s">
        <v>362</v>
      </c>
      <c r="H234" s="406" t="s">
        <v>358</v>
      </c>
      <c r="I234" s="465" t="s">
        <v>111</v>
      </c>
      <c r="J234" s="505">
        <v>400000</v>
      </c>
      <c r="K234" s="260"/>
      <c r="L234" s="120" t="e">
        <f>#N/A</f>
        <v>#N/A</v>
      </c>
    </row>
    <row r="235" spans="1:15" ht="17.25" customHeight="1">
      <c r="A235" s="248"/>
      <c r="B235" s="259"/>
      <c r="C235" s="68"/>
      <c r="D235" s="405" t="s">
        <v>433</v>
      </c>
      <c r="E235" s="405" t="s">
        <v>358</v>
      </c>
      <c r="F235" s="406" t="s">
        <v>104</v>
      </c>
      <c r="G235" s="406" t="s">
        <v>362</v>
      </c>
      <c r="H235" s="406" t="s">
        <v>359</v>
      </c>
      <c r="I235" s="465" t="s">
        <v>105</v>
      </c>
      <c r="J235" s="505">
        <v>1500000</v>
      </c>
      <c r="K235" s="260"/>
      <c r="L235" s="120" t="e">
        <f>#N/A</f>
        <v>#N/A</v>
      </c>
    </row>
    <row r="236" spans="1:15" ht="17.25" customHeight="1">
      <c r="A236" s="248"/>
      <c r="B236" s="259"/>
      <c r="C236" s="68"/>
      <c r="D236" s="457" t="s">
        <v>433</v>
      </c>
      <c r="E236" s="452" t="s">
        <v>358</v>
      </c>
      <c r="F236" s="483" t="s">
        <v>104</v>
      </c>
      <c r="G236" s="452" t="s">
        <v>363</v>
      </c>
      <c r="H236" s="406" t="s">
        <v>358</v>
      </c>
      <c r="I236" s="447" t="s">
        <v>106</v>
      </c>
      <c r="J236" s="505">
        <v>1726386.01</v>
      </c>
      <c r="K236" s="260"/>
      <c r="L236" s="120" t="e">
        <f>#N/A</f>
        <v>#N/A</v>
      </c>
    </row>
    <row r="237" spans="1:15" ht="17.25" customHeight="1">
      <c r="A237" s="248"/>
      <c r="B237" s="259"/>
      <c r="C237" s="68"/>
      <c r="D237" s="457" t="s">
        <v>433</v>
      </c>
      <c r="E237" s="452" t="s">
        <v>358</v>
      </c>
      <c r="F237" s="483" t="s">
        <v>104</v>
      </c>
      <c r="G237" s="452" t="s">
        <v>107</v>
      </c>
      <c r="H237" s="406" t="s">
        <v>107</v>
      </c>
      <c r="I237" s="407" t="s">
        <v>1134</v>
      </c>
      <c r="J237" s="505">
        <v>493802.54</v>
      </c>
      <c r="K237" s="260"/>
      <c r="L237" s="120" t="e">
        <f>#N/A</f>
        <v>#N/A</v>
      </c>
    </row>
    <row r="238" spans="1:15" ht="17.25" customHeight="1">
      <c r="A238" s="248"/>
      <c r="B238" s="259"/>
      <c r="C238" s="68"/>
      <c r="D238" s="457" t="s">
        <v>433</v>
      </c>
      <c r="E238" s="452" t="s">
        <v>358</v>
      </c>
      <c r="F238" s="483" t="s">
        <v>108</v>
      </c>
      <c r="G238" s="452" t="s">
        <v>358</v>
      </c>
      <c r="H238" s="406" t="s">
        <v>358</v>
      </c>
      <c r="I238" s="407" t="s">
        <v>125</v>
      </c>
      <c r="J238" s="505">
        <v>0</v>
      </c>
      <c r="K238" s="260"/>
      <c r="L238" s="120" t="e">
        <f>#N/A</f>
        <v>#N/A</v>
      </c>
    </row>
    <row r="239" spans="1:15" ht="17.25" customHeight="1">
      <c r="A239" s="248"/>
      <c r="B239" s="259"/>
      <c r="C239" s="68"/>
      <c r="D239" s="457" t="s">
        <v>433</v>
      </c>
      <c r="E239" s="452" t="s">
        <v>358</v>
      </c>
      <c r="F239" s="483" t="s">
        <v>108</v>
      </c>
      <c r="G239" s="452" t="s">
        <v>359</v>
      </c>
      <c r="H239" s="406" t="s">
        <v>360</v>
      </c>
      <c r="I239" s="407" t="s">
        <v>1135</v>
      </c>
      <c r="J239" s="505">
        <v>0</v>
      </c>
      <c r="K239" s="260"/>
      <c r="L239" s="120" t="e">
        <f>#N/A</f>
        <v>#N/A</v>
      </c>
    </row>
    <row r="240" spans="1:15" ht="17.25" customHeight="1">
      <c r="A240" s="248"/>
      <c r="B240" s="259"/>
      <c r="C240" s="68"/>
      <c r="D240" s="457" t="s">
        <v>433</v>
      </c>
      <c r="E240" s="452" t="s">
        <v>358</v>
      </c>
      <c r="F240" s="406" t="s">
        <v>108</v>
      </c>
      <c r="G240" s="452" t="s">
        <v>109</v>
      </c>
      <c r="H240" s="406" t="s">
        <v>358</v>
      </c>
      <c r="I240" s="467" t="s">
        <v>123</v>
      </c>
      <c r="J240" s="505"/>
      <c r="K240" s="260"/>
      <c r="L240" s="120" t="e">
        <f>#N/A</f>
        <v>#N/A</v>
      </c>
    </row>
    <row r="241" spans="1:12" ht="15.75" customHeight="1">
      <c r="A241" s="248"/>
      <c r="B241" s="259"/>
      <c r="C241" s="68"/>
      <c r="D241" s="457" t="s">
        <v>433</v>
      </c>
      <c r="E241" s="452" t="s">
        <v>358</v>
      </c>
      <c r="F241" s="406" t="s">
        <v>108</v>
      </c>
      <c r="G241" s="452" t="s">
        <v>109</v>
      </c>
      <c r="H241" s="406" t="s">
        <v>360</v>
      </c>
      <c r="I241" s="407" t="s">
        <v>1001</v>
      </c>
      <c r="J241" s="505"/>
      <c r="K241" s="260"/>
      <c r="L241" s="120" t="e">
        <f>#N/A</f>
        <v>#N/A</v>
      </c>
    </row>
    <row r="242" spans="1:12" ht="15.75" customHeight="1">
      <c r="A242" s="248"/>
      <c r="B242" s="259"/>
      <c r="C242" s="68"/>
      <c r="D242" s="457" t="s">
        <v>433</v>
      </c>
      <c r="E242" s="452" t="s">
        <v>358</v>
      </c>
      <c r="F242" s="406" t="s">
        <v>108</v>
      </c>
      <c r="G242" s="452" t="s">
        <v>109</v>
      </c>
      <c r="H242" s="406" t="s">
        <v>361</v>
      </c>
      <c r="I242" s="467" t="s">
        <v>437</v>
      </c>
      <c r="J242" s="505"/>
      <c r="K242" s="260"/>
      <c r="L242" s="120" t="e">
        <f>#N/A</f>
        <v>#N/A</v>
      </c>
    </row>
    <row r="243" spans="1:12" ht="15.75" customHeight="1">
      <c r="A243" s="248"/>
      <c r="B243" s="259"/>
      <c r="C243" s="68"/>
      <c r="D243" s="457" t="s">
        <v>433</v>
      </c>
      <c r="E243" s="452" t="s">
        <v>358</v>
      </c>
      <c r="F243" s="406" t="s">
        <v>108</v>
      </c>
      <c r="G243" s="452" t="s">
        <v>109</v>
      </c>
      <c r="H243" s="406" t="s">
        <v>362</v>
      </c>
      <c r="I243" s="467" t="s">
        <v>1087</v>
      </c>
      <c r="J243" s="505"/>
      <c r="K243" s="260"/>
      <c r="L243" s="120" t="e">
        <f>#N/A</f>
        <v>#N/A</v>
      </c>
    </row>
    <row r="244" spans="1:12" ht="12.75">
      <c r="A244" s="248"/>
      <c r="B244" s="259"/>
      <c r="C244" s="68"/>
      <c r="D244" s="457" t="s">
        <v>433</v>
      </c>
      <c r="E244" s="452" t="s">
        <v>358</v>
      </c>
      <c r="F244" s="406" t="s">
        <v>124</v>
      </c>
      <c r="G244" s="452" t="s">
        <v>360</v>
      </c>
      <c r="H244" s="406" t="s">
        <v>358</v>
      </c>
      <c r="I244" s="467" t="s">
        <v>1076</v>
      </c>
      <c r="J244" s="505"/>
      <c r="K244" s="260"/>
      <c r="L244" s="120" t="e">
        <f>#N/A</f>
        <v>#N/A</v>
      </c>
    </row>
    <row r="245" spans="1:12" ht="12.75">
      <c r="A245" s="249"/>
      <c r="B245" s="245"/>
      <c r="C245" s="84"/>
      <c r="D245" s="458"/>
      <c r="E245" s="450"/>
      <c r="F245" s="449"/>
      <c r="G245" s="450"/>
      <c r="H245" s="449"/>
      <c r="I245" s="490"/>
      <c r="J245" s="468"/>
    </row>
    <row r="246" spans="1:12" ht="12.75">
      <c r="A246" s="3" t="s">
        <v>1035</v>
      </c>
      <c r="B246" s="259" t="s">
        <v>1036</v>
      </c>
      <c r="C246" s="277">
        <v>50000</v>
      </c>
      <c r="D246" s="458" t="s">
        <v>433</v>
      </c>
      <c r="E246" s="450" t="s">
        <v>358</v>
      </c>
      <c r="F246" s="516" t="s">
        <v>108</v>
      </c>
      <c r="G246" s="517" t="s">
        <v>358</v>
      </c>
      <c r="H246" s="516" t="s">
        <v>358</v>
      </c>
      <c r="I246" s="534" t="s">
        <v>125</v>
      </c>
      <c r="J246" s="507">
        <v>50000</v>
      </c>
      <c r="K246" s="260">
        <f>+J246</f>
        <v>50000</v>
      </c>
      <c r="L246" s="120">
        <f>+J246</f>
        <v>50000</v>
      </c>
    </row>
    <row r="247" spans="1:12" ht="25.5">
      <c r="A247" s="246" t="s">
        <v>1009</v>
      </c>
      <c r="B247" s="258" t="s">
        <v>1011</v>
      </c>
      <c r="C247" s="83">
        <v>10000000</v>
      </c>
      <c r="D247" s="457" t="s">
        <v>433</v>
      </c>
      <c r="E247" s="452" t="s">
        <v>358</v>
      </c>
      <c r="F247" s="406" t="s">
        <v>104</v>
      </c>
      <c r="G247" s="406" t="s">
        <v>360</v>
      </c>
      <c r="H247" s="406" t="s">
        <v>358</v>
      </c>
      <c r="I247" s="465" t="s">
        <v>1002</v>
      </c>
      <c r="J247" s="505">
        <v>0</v>
      </c>
      <c r="K247" s="260">
        <f>+C247</f>
        <v>10000000</v>
      </c>
      <c r="L247" s="120">
        <f>+J247</f>
        <v>0</v>
      </c>
    </row>
    <row r="248" spans="1:12" ht="12.75">
      <c r="A248" s="248"/>
      <c r="B248" s="259"/>
      <c r="C248" s="68"/>
      <c r="D248" s="457" t="s">
        <v>433</v>
      </c>
      <c r="E248" s="452" t="s">
        <v>358</v>
      </c>
      <c r="F248" s="483" t="s">
        <v>104</v>
      </c>
      <c r="G248" s="452" t="s">
        <v>107</v>
      </c>
      <c r="H248" s="406" t="s">
        <v>107</v>
      </c>
      <c r="I248" s="407" t="s">
        <v>1134</v>
      </c>
      <c r="J248" s="505">
        <f>520684.88-J237</f>
        <v>26882.340000000026</v>
      </c>
      <c r="K248" s="260">
        <f>SUM(J247:J275)</f>
        <v>10000000</v>
      </c>
      <c r="L248" s="120">
        <f>+J248</f>
        <v>26882.340000000026</v>
      </c>
    </row>
    <row r="249" spans="1:12" ht="12.75">
      <c r="A249" s="248"/>
      <c r="B249" s="259"/>
      <c r="C249" s="68"/>
      <c r="D249" s="457" t="s">
        <v>433</v>
      </c>
      <c r="E249" s="452" t="s">
        <v>358</v>
      </c>
      <c r="F249" s="483" t="s">
        <v>108</v>
      </c>
      <c r="G249" s="452" t="s">
        <v>358</v>
      </c>
      <c r="H249" s="406" t="s">
        <v>358</v>
      </c>
      <c r="I249" s="407" t="s">
        <v>125</v>
      </c>
      <c r="J249" s="505">
        <f>511793.28-J237</f>
        <v>17990.740000000049</v>
      </c>
      <c r="K249" s="260"/>
      <c r="L249" s="120">
        <f>+J249</f>
        <v>17990.740000000049</v>
      </c>
    </row>
    <row r="250" spans="1:12" ht="12.75">
      <c r="A250" s="248"/>
      <c r="B250" s="259"/>
      <c r="C250" s="68"/>
      <c r="D250" s="457" t="s">
        <v>433</v>
      </c>
      <c r="E250" s="452" t="s">
        <v>358</v>
      </c>
      <c r="F250" s="483" t="s">
        <v>108</v>
      </c>
      <c r="G250" s="452" t="s">
        <v>359</v>
      </c>
      <c r="H250" s="406" t="s">
        <v>360</v>
      </c>
      <c r="I250" s="407" t="s">
        <v>1135</v>
      </c>
      <c r="J250" s="505">
        <v>500000</v>
      </c>
      <c r="K250" s="260"/>
      <c r="L250" s="120">
        <f>+J250</f>
        <v>500000</v>
      </c>
    </row>
    <row r="251" spans="1:12" ht="12.75">
      <c r="A251" s="248"/>
      <c r="B251" s="259"/>
      <c r="C251" s="68"/>
      <c r="D251" s="457" t="s">
        <v>433</v>
      </c>
      <c r="E251" s="452" t="s">
        <v>358</v>
      </c>
      <c r="F251" s="406" t="s">
        <v>108</v>
      </c>
      <c r="G251" s="452" t="s">
        <v>109</v>
      </c>
      <c r="H251" s="406" t="s">
        <v>358</v>
      </c>
      <c r="I251" s="467" t="s">
        <v>123</v>
      </c>
      <c r="J251" s="505">
        <v>1000000</v>
      </c>
      <c r="K251" s="260">
        <f>+K247-K248</f>
        <v>0</v>
      </c>
      <c r="L251" s="398" t="e">
        <f>#N/A</f>
        <v>#N/A</v>
      </c>
    </row>
    <row r="252" spans="1:12" ht="12.75">
      <c r="A252" s="248"/>
      <c r="B252" s="259"/>
      <c r="C252" s="68"/>
      <c r="D252" s="457" t="s">
        <v>433</v>
      </c>
      <c r="E252" s="452" t="s">
        <v>358</v>
      </c>
      <c r="F252" s="406" t="s">
        <v>108</v>
      </c>
      <c r="G252" s="452" t="s">
        <v>109</v>
      </c>
      <c r="H252" s="406" t="s">
        <v>360</v>
      </c>
      <c r="I252" s="447" t="s">
        <v>1104</v>
      </c>
      <c r="J252" s="505">
        <v>274522.84000000003</v>
      </c>
      <c r="K252" s="260"/>
      <c r="L252" s="398" t="e">
        <f>#N/A</f>
        <v>#N/A</v>
      </c>
    </row>
    <row r="253" spans="1:12" ht="12.75">
      <c r="A253" s="248"/>
      <c r="B253" s="259"/>
      <c r="C253" s="68"/>
      <c r="D253" s="457" t="s">
        <v>433</v>
      </c>
      <c r="E253" s="452" t="s">
        <v>358</v>
      </c>
      <c r="F253" s="406" t="s">
        <v>108</v>
      </c>
      <c r="G253" s="452" t="s">
        <v>109</v>
      </c>
      <c r="H253" s="406" t="s">
        <v>362</v>
      </c>
      <c r="I253" s="467" t="s">
        <v>1103</v>
      </c>
      <c r="J253" s="505">
        <v>800000</v>
      </c>
      <c r="K253" s="260"/>
      <c r="L253" s="398" t="e">
        <f>#N/A</f>
        <v>#N/A</v>
      </c>
    </row>
    <row r="254" spans="1:12" ht="12.75">
      <c r="A254" s="248"/>
      <c r="B254" s="259"/>
      <c r="C254" s="68"/>
      <c r="D254" s="457" t="s">
        <v>433</v>
      </c>
      <c r="E254" s="452" t="s">
        <v>359</v>
      </c>
      <c r="F254" s="406" t="s">
        <v>96</v>
      </c>
      <c r="G254" s="452" t="s">
        <v>358</v>
      </c>
      <c r="H254" s="406" t="s">
        <v>358</v>
      </c>
      <c r="I254" s="467" t="s">
        <v>1031</v>
      </c>
      <c r="J254" s="505">
        <v>3584094.18</v>
      </c>
      <c r="K254" s="260"/>
      <c r="L254" s="398" t="e">
        <f>#N/A</f>
        <v>#N/A</v>
      </c>
    </row>
    <row r="255" spans="1:12" ht="12.75">
      <c r="A255" s="248"/>
      <c r="B255" s="259"/>
      <c r="C255" s="68"/>
      <c r="D255" s="457" t="s">
        <v>433</v>
      </c>
      <c r="E255" s="452" t="s">
        <v>359</v>
      </c>
      <c r="F255" s="483" t="s">
        <v>96</v>
      </c>
      <c r="G255" s="452" t="s">
        <v>360</v>
      </c>
      <c r="H255" s="406" t="s">
        <v>360</v>
      </c>
      <c r="I255" s="447" t="s">
        <v>1101</v>
      </c>
      <c r="J255" s="506">
        <v>298674.52</v>
      </c>
      <c r="K255" s="260"/>
      <c r="L255" s="398" t="e">
        <f>#N/A</f>
        <v>#N/A</v>
      </c>
    </row>
    <row r="256" spans="1:12" ht="12.75">
      <c r="A256" s="248"/>
      <c r="B256" s="259"/>
      <c r="C256" s="68"/>
      <c r="D256" s="457" t="s">
        <v>433</v>
      </c>
      <c r="E256" s="452" t="s">
        <v>359</v>
      </c>
      <c r="F256" s="406" t="s">
        <v>96</v>
      </c>
      <c r="G256" s="406" t="s">
        <v>361</v>
      </c>
      <c r="H256" s="406" t="s">
        <v>358</v>
      </c>
      <c r="I256" s="465" t="s">
        <v>100</v>
      </c>
      <c r="J256" s="506">
        <v>501773.19</v>
      </c>
      <c r="K256" s="260"/>
      <c r="L256" s="398" t="e">
        <f>#N/A</f>
        <v>#N/A</v>
      </c>
    </row>
    <row r="257" spans="1:12" ht="12.75">
      <c r="A257" s="248"/>
      <c r="B257" s="259"/>
      <c r="C257" s="68"/>
      <c r="D257" s="457" t="s">
        <v>433</v>
      </c>
      <c r="E257" s="452" t="s">
        <v>359</v>
      </c>
      <c r="F257" s="406" t="s">
        <v>96</v>
      </c>
      <c r="G257" s="452" t="s">
        <v>361</v>
      </c>
      <c r="H257" s="406" t="s">
        <v>362</v>
      </c>
      <c r="I257" s="465" t="s">
        <v>101</v>
      </c>
      <c r="J257" s="506">
        <v>17920.47</v>
      </c>
      <c r="K257" s="260"/>
      <c r="L257" s="398" t="e">
        <f>#N/A</f>
        <v>#N/A</v>
      </c>
    </row>
    <row r="258" spans="1:12" ht="12.75">
      <c r="A258" s="248"/>
      <c r="B258" s="259"/>
      <c r="C258" s="68"/>
      <c r="D258" s="457" t="s">
        <v>433</v>
      </c>
      <c r="E258" s="452" t="s">
        <v>359</v>
      </c>
      <c r="F258" s="406" t="s">
        <v>96</v>
      </c>
      <c r="G258" s="452" t="s">
        <v>362</v>
      </c>
      <c r="H258" s="406" t="s">
        <v>359</v>
      </c>
      <c r="I258" s="465" t="s">
        <v>102</v>
      </c>
      <c r="J258" s="506">
        <v>53761.41</v>
      </c>
      <c r="K258" s="260"/>
      <c r="L258" s="398" t="e">
        <f>#N/A</f>
        <v>#N/A</v>
      </c>
    </row>
    <row r="259" spans="1:12" ht="12.75">
      <c r="A259" s="248"/>
      <c r="B259" s="259"/>
      <c r="C259" s="68"/>
      <c r="D259" s="457" t="s">
        <v>433</v>
      </c>
      <c r="E259" s="452" t="s">
        <v>359</v>
      </c>
      <c r="F259" s="406" t="s">
        <v>96</v>
      </c>
      <c r="G259" s="452" t="s">
        <v>362</v>
      </c>
      <c r="H259" s="406" t="s">
        <v>360</v>
      </c>
      <c r="I259" s="465" t="s">
        <v>103</v>
      </c>
      <c r="J259" s="506">
        <v>104522.83</v>
      </c>
      <c r="K259" s="260"/>
      <c r="L259" s="398" t="e">
        <f>#N/A</f>
        <v>#N/A</v>
      </c>
    </row>
    <row r="260" spans="1:12" ht="12.75">
      <c r="A260" s="248"/>
      <c r="B260" s="259"/>
      <c r="C260" s="68"/>
      <c r="D260" s="457" t="s">
        <v>433</v>
      </c>
      <c r="E260" s="452" t="s">
        <v>359</v>
      </c>
      <c r="F260" s="406" t="s">
        <v>104</v>
      </c>
      <c r="G260" s="452" t="s">
        <v>360</v>
      </c>
      <c r="H260" s="406" t="s">
        <v>359</v>
      </c>
      <c r="I260" s="467" t="s">
        <v>1088</v>
      </c>
      <c r="J260" s="506">
        <v>245000</v>
      </c>
      <c r="K260" s="260"/>
      <c r="L260" s="398" t="e">
        <f>#N/A</f>
        <v>#N/A</v>
      </c>
    </row>
    <row r="261" spans="1:12" ht="12.75">
      <c r="A261" s="248"/>
      <c r="B261" s="259"/>
      <c r="C261" s="68"/>
      <c r="D261" s="457" t="s">
        <v>433</v>
      </c>
      <c r="E261" s="452" t="s">
        <v>359</v>
      </c>
      <c r="F261" s="406" t="s">
        <v>104</v>
      </c>
      <c r="G261" s="406" t="s">
        <v>361</v>
      </c>
      <c r="H261" s="406" t="s">
        <v>109</v>
      </c>
      <c r="I261" s="465" t="s">
        <v>1105</v>
      </c>
      <c r="J261" s="506">
        <v>610348.43999999994</v>
      </c>
      <c r="K261" s="260"/>
      <c r="L261" s="398" t="e">
        <f>#N/A</f>
        <v>#N/A</v>
      </c>
    </row>
    <row r="262" spans="1:12" ht="12.75">
      <c r="A262" s="248"/>
      <c r="B262" s="259"/>
      <c r="C262" s="68"/>
      <c r="D262" s="457" t="s">
        <v>433</v>
      </c>
      <c r="E262" s="452" t="s">
        <v>359</v>
      </c>
      <c r="F262" s="406" t="s">
        <v>104</v>
      </c>
      <c r="G262" s="406" t="s">
        <v>362</v>
      </c>
      <c r="H262" s="406" t="s">
        <v>358</v>
      </c>
      <c r="I262" s="465" t="s">
        <v>111</v>
      </c>
      <c r="J262" s="506">
        <v>60433.9</v>
      </c>
      <c r="K262" s="260"/>
      <c r="L262" s="398" t="e">
        <f>#N/A</f>
        <v>#N/A</v>
      </c>
    </row>
    <row r="263" spans="1:12" ht="12.75">
      <c r="A263" s="248"/>
      <c r="B263" s="259"/>
      <c r="C263" s="68"/>
      <c r="D263" s="457" t="s">
        <v>433</v>
      </c>
      <c r="E263" s="457" t="s">
        <v>359</v>
      </c>
      <c r="F263" s="406" t="s">
        <v>104</v>
      </c>
      <c r="G263" s="406" t="s">
        <v>362</v>
      </c>
      <c r="H263" s="406" t="s">
        <v>359</v>
      </c>
      <c r="I263" s="465" t="s">
        <v>105</v>
      </c>
      <c r="J263" s="506">
        <v>100000</v>
      </c>
      <c r="K263" s="260"/>
      <c r="L263" s="398" t="e">
        <f>#N/A</f>
        <v>#N/A</v>
      </c>
    </row>
    <row r="264" spans="1:12" ht="12.75">
      <c r="A264" s="248"/>
      <c r="B264" s="259"/>
      <c r="C264" s="68"/>
      <c r="D264" s="457" t="s">
        <v>433</v>
      </c>
      <c r="E264" s="452" t="s">
        <v>359</v>
      </c>
      <c r="F264" s="483" t="s">
        <v>104</v>
      </c>
      <c r="G264" s="452" t="s">
        <v>363</v>
      </c>
      <c r="H264" s="406" t="s">
        <v>358</v>
      </c>
      <c r="I264" s="447" t="s">
        <v>106</v>
      </c>
      <c r="J264" s="506">
        <v>107522.83</v>
      </c>
      <c r="K264" s="260"/>
      <c r="L264" s="398" t="e">
        <f>#N/A</f>
        <v>#N/A</v>
      </c>
    </row>
    <row r="265" spans="1:12" ht="12.75">
      <c r="A265" s="248"/>
      <c r="B265" s="259"/>
      <c r="C265" s="68"/>
      <c r="D265" s="457" t="s">
        <v>433</v>
      </c>
      <c r="E265" s="452" t="s">
        <v>359</v>
      </c>
      <c r="F265" s="406" t="s">
        <v>108</v>
      </c>
      <c r="G265" s="452" t="s">
        <v>109</v>
      </c>
      <c r="H265" s="406" t="s">
        <v>358</v>
      </c>
      <c r="I265" s="467" t="s">
        <v>1089</v>
      </c>
      <c r="J265" s="506">
        <v>100000</v>
      </c>
      <c r="K265" s="260"/>
      <c r="L265" s="398" t="e">
        <f>#N/A</f>
        <v>#N/A</v>
      </c>
    </row>
    <row r="266" spans="1:12" ht="12.75">
      <c r="A266" s="248"/>
      <c r="B266" s="259"/>
      <c r="C266" s="68"/>
      <c r="D266" s="457" t="s">
        <v>433</v>
      </c>
      <c r="E266" s="452" t="s">
        <v>359</v>
      </c>
      <c r="F266" s="406" t="s">
        <v>108</v>
      </c>
      <c r="G266" s="452" t="s">
        <v>109</v>
      </c>
      <c r="H266" s="406" t="s">
        <v>360</v>
      </c>
      <c r="I266" s="447" t="s">
        <v>128</v>
      </c>
      <c r="J266" s="506">
        <v>88500</v>
      </c>
      <c r="K266" s="260"/>
      <c r="L266" s="398" t="e">
        <f>#N/A</f>
        <v>#N/A</v>
      </c>
    </row>
    <row r="267" spans="1:12" ht="12.75">
      <c r="A267" s="248"/>
      <c r="B267" s="259"/>
      <c r="C267" s="68"/>
      <c r="D267" s="461" t="s">
        <v>433</v>
      </c>
      <c r="E267" s="405" t="s">
        <v>361</v>
      </c>
      <c r="F267" s="452" t="s">
        <v>1136</v>
      </c>
      <c r="G267" s="452" t="s">
        <v>359</v>
      </c>
      <c r="H267" s="405" t="s">
        <v>362</v>
      </c>
      <c r="I267" s="467" t="s">
        <v>1137</v>
      </c>
      <c r="J267" s="506">
        <v>1508052.31</v>
      </c>
      <c r="K267" s="260"/>
      <c r="L267" s="398" t="e">
        <f>#N/A</f>
        <v>#N/A</v>
      </c>
    </row>
    <row r="268" spans="1:12" ht="12.75">
      <c r="A268" s="248"/>
      <c r="B268" s="259"/>
      <c r="C268" s="68"/>
      <c r="D268" s="461" t="s">
        <v>433</v>
      </c>
      <c r="E268" s="405" t="s">
        <v>361</v>
      </c>
      <c r="F268" s="452" t="s">
        <v>73</v>
      </c>
      <c r="G268" s="452" t="s">
        <v>359</v>
      </c>
      <c r="H268" s="405" t="s">
        <v>362</v>
      </c>
      <c r="I268" s="465" t="s">
        <v>1138</v>
      </c>
      <c r="J268" s="506"/>
      <c r="K268" s="260"/>
      <c r="L268" s="398" t="e">
        <f>#N/A</f>
        <v>#N/A</v>
      </c>
    </row>
    <row r="269" spans="1:12" ht="12.75">
      <c r="A269" s="248"/>
      <c r="B269" s="259"/>
      <c r="C269" s="68"/>
      <c r="D269" s="457" t="s">
        <v>433</v>
      </c>
      <c r="E269" s="452" t="s">
        <v>359</v>
      </c>
      <c r="F269" s="406" t="s">
        <v>104</v>
      </c>
      <c r="G269" s="452" t="s">
        <v>360</v>
      </c>
      <c r="H269" s="406" t="s">
        <v>359</v>
      </c>
      <c r="I269" s="467" t="s">
        <v>1088</v>
      </c>
      <c r="J269" s="506"/>
      <c r="K269" s="260"/>
      <c r="L269" s="398" t="e">
        <f>#N/A</f>
        <v>#N/A</v>
      </c>
    </row>
    <row r="270" spans="1:12" ht="12.75">
      <c r="A270" s="248"/>
      <c r="B270" s="259"/>
      <c r="C270" s="68"/>
      <c r="D270" s="457" t="s">
        <v>433</v>
      </c>
      <c r="E270" s="452" t="s">
        <v>359</v>
      </c>
      <c r="F270" s="406" t="s">
        <v>104</v>
      </c>
      <c r="G270" s="406" t="s">
        <v>361</v>
      </c>
      <c r="H270" s="406" t="s">
        <v>109</v>
      </c>
      <c r="I270" s="465" t="s">
        <v>1105</v>
      </c>
      <c r="J270" s="506"/>
      <c r="K270" s="260"/>
      <c r="L270" s="398" t="e">
        <f>#N/A</f>
        <v>#N/A</v>
      </c>
    </row>
    <row r="271" spans="1:12" ht="12.75">
      <c r="A271" s="248"/>
      <c r="B271" s="259"/>
      <c r="C271" s="68"/>
      <c r="D271" s="457" t="s">
        <v>433</v>
      </c>
      <c r="E271" s="452" t="s">
        <v>359</v>
      </c>
      <c r="F271" s="406" t="s">
        <v>104</v>
      </c>
      <c r="G271" s="406" t="s">
        <v>362</v>
      </c>
      <c r="H271" s="406" t="s">
        <v>358</v>
      </c>
      <c r="I271" s="465" t="s">
        <v>111</v>
      </c>
      <c r="J271" s="506"/>
      <c r="K271" s="260"/>
      <c r="L271" s="398" t="e">
        <f>#N/A</f>
        <v>#N/A</v>
      </c>
    </row>
    <row r="272" spans="1:12" ht="12.75">
      <c r="A272" s="248"/>
      <c r="B272" s="259"/>
      <c r="C272" s="68"/>
      <c r="D272" s="457" t="s">
        <v>433</v>
      </c>
      <c r="E272" s="457" t="s">
        <v>359</v>
      </c>
      <c r="F272" s="406" t="s">
        <v>104</v>
      </c>
      <c r="G272" s="406" t="s">
        <v>362</v>
      </c>
      <c r="H272" s="406" t="s">
        <v>359</v>
      </c>
      <c r="I272" s="465" t="s">
        <v>105</v>
      </c>
      <c r="J272" s="506"/>
      <c r="K272" s="260"/>
      <c r="L272" s="398" t="e">
        <f>#N/A</f>
        <v>#N/A</v>
      </c>
    </row>
    <row r="273" spans="1:12" ht="12.75">
      <c r="A273" s="248"/>
      <c r="B273" s="259"/>
      <c r="C273" s="68"/>
      <c r="D273" s="457" t="s">
        <v>433</v>
      </c>
      <c r="E273" s="452" t="s">
        <v>359</v>
      </c>
      <c r="F273" s="483" t="s">
        <v>104</v>
      </c>
      <c r="G273" s="452" t="s">
        <v>363</v>
      </c>
      <c r="H273" s="406" t="s">
        <v>358</v>
      </c>
      <c r="I273" s="447" t="s">
        <v>106</v>
      </c>
      <c r="J273" s="506"/>
      <c r="K273" s="260"/>
      <c r="L273" s="398" t="e">
        <f>#N/A</f>
        <v>#N/A</v>
      </c>
    </row>
    <row r="274" spans="1:12" ht="12.75">
      <c r="A274" s="248"/>
      <c r="B274" s="259"/>
      <c r="C274" s="68"/>
      <c r="D274" s="457" t="s">
        <v>433</v>
      </c>
      <c r="E274" s="452" t="s">
        <v>359</v>
      </c>
      <c r="F274" s="406" t="s">
        <v>108</v>
      </c>
      <c r="G274" s="452" t="s">
        <v>109</v>
      </c>
      <c r="H274" s="406" t="s">
        <v>358</v>
      </c>
      <c r="I274" s="467" t="s">
        <v>1089</v>
      </c>
      <c r="J274" s="506"/>
      <c r="K274" s="260"/>
      <c r="L274" s="398" t="e">
        <f>#N/A</f>
        <v>#N/A</v>
      </c>
    </row>
    <row r="275" spans="1:12" ht="12.75">
      <c r="A275" s="248"/>
      <c r="B275" s="259"/>
      <c r="C275" s="68"/>
      <c r="D275" s="457" t="s">
        <v>433</v>
      </c>
      <c r="E275" s="452" t="s">
        <v>359</v>
      </c>
      <c r="F275" s="406" t="s">
        <v>108</v>
      </c>
      <c r="G275" s="452" t="s">
        <v>109</v>
      </c>
      <c r="H275" s="406" t="s">
        <v>360</v>
      </c>
      <c r="I275" s="447" t="s">
        <v>128</v>
      </c>
      <c r="J275" s="506"/>
      <c r="K275" s="260"/>
      <c r="L275" s="398" t="e">
        <f>#N/A</f>
        <v>#N/A</v>
      </c>
    </row>
    <row r="276" spans="1:12" ht="5.25" customHeight="1">
      <c r="A276" s="248"/>
      <c r="B276" s="259"/>
      <c r="C276" s="277"/>
      <c r="D276" s="461"/>
      <c r="E276" s="406"/>
      <c r="F276" s="406"/>
      <c r="G276" s="452"/>
      <c r="H276" s="406"/>
      <c r="I276" s="541"/>
      <c r="J276" s="505"/>
      <c r="K276" s="260"/>
    </row>
    <row r="277" spans="1:12" ht="5.25" customHeight="1">
      <c r="A277" s="510"/>
      <c r="B277" s="511"/>
      <c r="C277" s="83"/>
      <c r="D277" s="453"/>
      <c r="E277" s="404"/>
      <c r="F277" s="404"/>
      <c r="G277" s="404"/>
      <c r="H277" s="404"/>
      <c r="I277" s="542"/>
      <c r="J277" s="529"/>
      <c r="K277" s="260"/>
    </row>
    <row r="278" spans="1:12" ht="5.25" customHeight="1">
      <c r="A278" s="508"/>
      <c r="B278" s="509"/>
      <c r="C278" s="68"/>
      <c r="D278" s="451"/>
      <c r="E278" s="452"/>
      <c r="F278" s="452"/>
      <c r="G278" s="452"/>
      <c r="H278" s="452"/>
      <c r="I278" s="541"/>
      <c r="J278" s="528"/>
      <c r="K278" s="260"/>
    </row>
    <row r="279" spans="1:12" ht="5.25" customHeight="1">
      <c r="A279" s="508"/>
      <c r="B279" s="509"/>
      <c r="C279" s="68"/>
      <c r="D279" s="451"/>
      <c r="E279" s="452"/>
      <c r="F279" s="452"/>
      <c r="G279" s="452"/>
      <c r="H279" s="452"/>
      <c r="I279" s="541"/>
      <c r="J279" s="528"/>
      <c r="K279" s="260"/>
    </row>
    <row r="280" spans="1:12" ht="5.25" customHeight="1">
      <c r="A280" s="508"/>
      <c r="B280" s="509"/>
      <c r="C280" s="68"/>
      <c r="D280" s="451"/>
      <c r="E280" s="452"/>
      <c r="F280" s="452"/>
      <c r="G280" s="452"/>
      <c r="H280" s="452"/>
      <c r="I280" s="541"/>
      <c r="J280" s="528"/>
      <c r="K280" s="260"/>
    </row>
    <row r="281" spans="1:12" ht="5.25" customHeight="1">
      <c r="A281" s="508"/>
      <c r="B281" s="509"/>
      <c r="C281" s="68"/>
      <c r="D281" s="451"/>
      <c r="E281" s="452"/>
      <c r="F281" s="452"/>
      <c r="G281" s="452"/>
      <c r="H281" s="452"/>
      <c r="I281" s="541"/>
      <c r="J281" s="528"/>
      <c r="K281" s="260"/>
    </row>
    <row r="282" spans="1:12" ht="17.25" customHeight="1">
      <c r="A282" s="508"/>
      <c r="B282" s="509"/>
      <c r="C282" s="68"/>
      <c r="D282" s="451"/>
      <c r="E282" s="452"/>
      <c r="F282" s="452"/>
      <c r="G282" s="452"/>
      <c r="H282" s="452"/>
      <c r="I282" s="541"/>
      <c r="J282" s="528"/>
      <c r="K282" s="260"/>
    </row>
    <row r="283" spans="1:12" ht="19.5" customHeight="1">
      <c r="A283" s="508"/>
      <c r="B283" s="509"/>
      <c r="C283" s="68"/>
      <c r="D283" s="451"/>
      <c r="E283" s="452"/>
      <c r="F283" s="452"/>
      <c r="G283" s="452"/>
      <c r="H283" s="452"/>
      <c r="I283" s="541"/>
      <c r="J283" s="528"/>
      <c r="K283" s="260"/>
    </row>
    <row r="284" spans="1:12" ht="15.75" customHeight="1">
      <c r="A284" s="508"/>
      <c r="B284" s="509"/>
      <c r="C284" s="68"/>
      <c r="D284" s="451"/>
      <c r="E284" s="452"/>
      <c r="F284" s="452"/>
      <c r="G284" s="452"/>
      <c r="H284" s="452"/>
      <c r="I284" s="541"/>
      <c r="J284" s="528"/>
      <c r="K284" s="260"/>
    </row>
    <row r="285" spans="1:12" ht="14.25" customHeight="1">
      <c r="A285" s="508"/>
      <c r="B285" s="509"/>
      <c r="C285" s="68"/>
      <c r="D285" s="451"/>
      <c r="E285" s="452"/>
      <c r="F285" s="452"/>
      <c r="G285" s="452"/>
      <c r="H285" s="452"/>
      <c r="I285" s="541"/>
      <c r="J285" s="528"/>
      <c r="K285" s="260"/>
    </row>
    <row r="286" spans="1:12" ht="5.25" customHeight="1">
      <c r="A286" s="508"/>
      <c r="B286" s="509"/>
      <c r="C286" s="68"/>
      <c r="D286" s="451"/>
      <c r="E286" s="452"/>
      <c r="F286" s="452"/>
      <c r="G286" s="452"/>
      <c r="H286" s="452"/>
      <c r="I286" s="541"/>
      <c r="J286" s="528"/>
      <c r="K286" s="260"/>
    </row>
    <row r="287" spans="1:12" ht="5.25" customHeight="1">
      <c r="A287" s="508"/>
      <c r="B287" s="509"/>
      <c r="C287" s="68"/>
      <c r="D287" s="451"/>
      <c r="E287" s="452"/>
      <c r="F287" s="452"/>
      <c r="G287" s="452"/>
      <c r="H287" s="452"/>
      <c r="I287" s="541"/>
      <c r="J287" s="528"/>
      <c r="K287" s="260"/>
    </row>
    <row r="288" spans="1:12" ht="5.25" customHeight="1">
      <c r="A288" s="508"/>
      <c r="B288" s="509"/>
      <c r="C288" s="68"/>
      <c r="D288" s="451"/>
      <c r="E288" s="452"/>
      <c r="F288" s="452"/>
      <c r="G288" s="452"/>
      <c r="H288" s="452"/>
      <c r="I288" s="541"/>
      <c r="J288" s="528"/>
      <c r="K288" s="260"/>
    </row>
    <row r="289" spans="1:11" ht="5.25" customHeight="1">
      <c r="A289" s="508"/>
      <c r="B289" s="509"/>
      <c r="C289" s="68"/>
      <c r="D289" s="451"/>
      <c r="E289" s="452"/>
      <c r="F289" s="452"/>
      <c r="G289" s="452"/>
      <c r="H289" s="452"/>
      <c r="I289" s="541"/>
      <c r="J289" s="528"/>
      <c r="K289" s="260"/>
    </row>
    <row r="290" spans="1:11" ht="5.25" customHeight="1">
      <c r="A290" s="508"/>
      <c r="B290" s="509"/>
      <c r="C290" s="68"/>
      <c r="D290" s="451"/>
      <c r="E290" s="452"/>
      <c r="F290" s="452"/>
      <c r="G290" s="452"/>
      <c r="H290" s="452"/>
      <c r="I290" s="541"/>
      <c r="J290" s="528"/>
      <c r="K290" s="260"/>
    </row>
    <row r="291" spans="1:11" ht="5.25" customHeight="1">
      <c r="A291" s="508"/>
      <c r="B291" s="509"/>
      <c r="C291" s="68"/>
      <c r="D291" s="451"/>
      <c r="E291" s="452"/>
      <c r="F291" s="452"/>
      <c r="G291" s="452"/>
      <c r="H291" s="452"/>
      <c r="I291" s="541"/>
      <c r="J291" s="528"/>
      <c r="K291" s="260"/>
    </row>
    <row r="292" spans="1:11" ht="5.25" customHeight="1">
      <c r="A292" s="508"/>
      <c r="B292" s="509"/>
      <c r="C292" s="68"/>
      <c r="D292" s="451"/>
      <c r="E292" s="452"/>
      <c r="F292" s="452"/>
      <c r="G292" s="452"/>
      <c r="H292" s="452"/>
      <c r="I292" s="541"/>
      <c r="J292" s="528"/>
      <c r="K292" s="260"/>
    </row>
    <row r="293" spans="1:11" ht="5.25" customHeight="1">
      <c r="A293" s="508"/>
      <c r="B293" s="509"/>
      <c r="C293" s="68"/>
      <c r="D293" s="451"/>
      <c r="E293" s="452"/>
      <c r="F293" s="452"/>
      <c r="G293" s="452"/>
      <c r="H293" s="452"/>
      <c r="I293" s="541"/>
      <c r="J293" s="528"/>
      <c r="K293" s="260"/>
    </row>
    <row r="294" spans="1:11" ht="65.25" customHeight="1">
      <c r="A294" s="508"/>
      <c r="B294" s="509"/>
      <c r="C294" s="68"/>
      <c r="D294" s="451"/>
      <c r="E294" s="452"/>
      <c r="F294" s="452"/>
      <c r="G294" s="452"/>
      <c r="H294" s="452"/>
      <c r="I294" s="541"/>
      <c r="J294" s="528"/>
      <c r="K294" s="260"/>
    </row>
    <row r="295" spans="1:11" ht="5.25" customHeight="1">
      <c r="A295" s="508"/>
      <c r="B295" s="509"/>
      <c r="C295" s="68"/>
      <c r="D295" s="451"/>
      <c r="E295" s="452"/>
      <c r="F295" s="452"/>
      <c r="G295" s="452"/>
      <c r="H295" s="452"/>
      <c r="I295" s="541"/>
      <c r="J295" s="528"/>
      <c r="K295" s="260"/>
    </row>
    <row r="296" spans="1:11" ht="5.25" customHeight="1">
      <c r="A296" s="508"/>
      <c r="B296" s="509"/>
      <c r="C296" s="68"/>
      <c r="D296" s="451"/>
      <c r="E296" s="452"/>
      <c r="F296" s="452"/>
      <c r="G296" s="452"/>
      <c r="H296" s="452"/>
      <c r="I296" s="541"/>
      <c r="J296" s="528"/>
      <c r="K296" s="260"/>
    </row>
    <row r="297" spans="1:11" ht="5.25" customHeight="1">
      <c r="A297" s="508"/>
      <c r="B297" s="509"/>
      <c r="C297" s="68"/>
      <c r="D297" s="451"/>
      <c r="E297" s="452"/>
      <c r="F297" s="452"/>
      <c r="G297" s="452"/>
      <c r="H297" s="452"/>
      <c r="I297" s="541"/>
      <c r="J297" s="528"/>
      <c r="K297" s="260"/>
    </row>
    <row r="298" spans="1:11" ht="5.25" customHeight="1">
      <c r="A298" s="508"/>
      <c r="B298" s="509"/>
      <c r="C298" s="68"/>
      <c r="D298" s="451"/>
      <c r="E298" s="452"/>
      <c r="F298" s="452"/>
      <c r="G298" s="452"/>
      <c r="H298" s="452"/>
      <c r="I298" s="541"/>
      <c r="J298" s="528"/>
      <c r="K298" s="260"/>
    </row>
    <row r="299" spans="1:11" ht="5.25" customHeight="1">
      <c r="A299" s="508"/>
      <c r="B299" s="509"/>
      <c r="C299" s="68"/>
      <c r="D299" s="451"/>
      <c r="E299" s="452"/>
      <c r="F299" s="452"/>
      <c r="G299" s="452"/>
      <c r="H299" s="452"/>
      <c r="I299" s="541"/>
      <c r="J299" s="528"/>
      <c r="K299" s="260"/>
    </row>
    <row r="300" spans="1:11" ht="5.25" customHeight="1">
      <c r="A300" s="508"/>
      <c r="B300" s="509"/>
      <c r="C300" s="68"/>
      <c r="D300" s="451"/>
      <c r="E300" s="452"/>
      <c r="F300" s="452"/>
      <c r="G300" s="452"/>
      <c r="H300" s="452"/>
      <c r="I300" s="541"/>
      <c r="J300" s="528"/>
      <c r="K300" s="260"/>
    </row>
    <row r="301" spans="1:11" ht="5.25" customHeight="1">
      <c r="A301" s="508"/>
      <c r="B301" s="509"/>
      <c r="C301" s="68"/>
      <c r="D301" s="451"/>
      <c r="E301" s="452"/>
      <c r="F301" s="452"/>
      <c r="G301" s="452"/>
      <c r="H301" s="452"/>
      <c r="I301" s="541"/>
      <c r="J301" s="528"/>
      <c r="K301" s="260"/>
    </row>
    <row r="302" spans="1:11" ht="5.25" customHeight="1">
      <c r="A302" s="508"/>
      <c r="B302" s="509"/>
      <c r="C302" s="68"/>
      <c r="D302" s="451"/>
      <c r="E302" s="452"/>
      <c r="F302" s="452"/>
      <c r="G302" s="452"/>
      <c r="H302" s="452"/>
      <c r="I302" s="541"/>
      <c r="J302" s="528"/>
      <c r="K302" s="260"/>
    </row>
    <row r="303" spans="1:11" ht="11.25" customHeight="1">
      <c r="A303" s="508"/>
      <c r="B303" s="509"/>
      <c r="C303" s="68"/>
      <c r="D303" s="451"/>
      <c r="E303" s="452"/>
      <c r="F303" s="452"/>
      <c r="G303" s="452"/>
      <c r="H303" s="452"/>
      <c r="I303" s="541"/>
      <c r="J303" s="394" t="s">
        <v>129</v>
      </c>
      <c r="K303" s="260"/>
    </row>
    <row r="304" spans="1:11" ht="5.25" customHeight="1">
      <c r="A304" s="508"/>
      <c r="B304" s="509"/>
      <c r="C304" s="68"/>
      <c r="D304" s="451"/>
      <c r="E304" s="452"/>
      <c r="F304" s="452"/>
      <c r="G304" s="452"/>
      <c r="H304" s="452"/>
      <c r="I304" s="541"/>
      <c r="J304" s="528"/>
      <c r="K304" s="260"/>
    </row>
    <row r="305" spans="1:15" ht="5.25" customHeight="1">
      <c r="A305" s="512"/>
      <c r="B305" s="513"/>
      <c r="C305" s="84"/>
      <c r="D305" s="448"/>
      <c r="E305" s="450"/>
      <c r="F305" s="450"/>
      <c r="G305" s="450"/>
      <c r="H305" s="450"/>
      <c r="I305" s="480"/>
      <c r="J305" s="530"/>
      <c r="K305" s="260"/>
    </row>
    <row r="306" spans="1:15" ht="5.25" customHeight="1">
      <c r="A306" s="248"/>
      <c r="B306" s="259"/>
      <c r="C306" s="68"/>
      <c r="D306" s="461"/>
      <c r="E306" s="452"/>
      <c r="F306" s="406"/>
      <c r="G306" s="452"/>
      <c r="H306" s="406"/>
      <c r="I306" s="541"/>
      <c r="J306" s="505"/>
      <c r="K306" s="260"/>
    </row>
    <row r="307" spans="1:15" ht="5.25" customHeight="1">
      <c r="A307" s="248"/>
      <c r="B307" s="259"/>
      <c r="C307" s="68"/>
      <c r="D307" s="461"/>
      <c r="E307" s="452"/>
      <c r="F307" s="452"/>
      <c r="G307" s="452"/>
      <c r="H307" s="405"/>
      <c r="I307" s="541"/>
      <c r="J307" s="505"/>
      <c r="K307" s="260"/>
    </row>
    <row r="308" spans="1:15" ht="26.25" customHeight="1">
      <c r="A308" s="248" t="s">
        <v>29</v>
      </c>
      <c r="B308" s="259" t="s">
        <v>30</v>
      </c>
      <c r="C308" s="68">
        <v>4000000</v>
      </c>
      <c r="D308" s="461" t="s">
        <v>433</v>
      </c>
      <c r="E308" s="405" t="s">
        <v>361</v>
      </c>
      <c r="F308" s="452" t="s">
        <v>1136</v>
      </c>
      <c r="G308" s="452" t="s">
        <v>359</v>
      </c>
      <c r="H308" s="405" t="s">
        <v>362</v>
      </c>
      <c r="I308" s="467" t="s">
        <v>1137</v>
      </c>
      <c r="J308" s="506">
        <f>+'Deuda Interna'!C11-'Origen y Aplicacion de Recursos'!J267</f>
        <v>-128085.94999999995</v>
      </c>
      <c r="K308" s="260">
        <f>+C308</f>
        <v>4000000</v>
      </c>
      <c r="L308" s="398" t="e">
        <f>#N/A</f>
        <v>#N/A</v>
      </c>
      <c r="M308" s="398"/>
      <c r="N308" s="398"/>
      <c r="O308" s="398"/>
    </row>
    <row r="309" spans="1:15" ht="12.75">
      <c r="A309" s="248"/>
      <c r="B309" s="259"/>
      <c r="C309" s="68"/>
      <c r="D309" s="461" t="s">
        <v>433</v>
      </c>
      <c r="E309" s="405" t="s">
        <v>361</v>
      </c>
      <c r="F309" s="452" t="s">
        <v>73</v>
      </c>
      <c r="G309" s="452" t="s">
        <v>359</v>
      </c>
      <c r="H309" s="405" t="s">
        <v>362</v>
      </c>
      <c r="I309" s="465" t="s">
        <v>1138</v>
      </c>
      <c r="J309" s="506">
        <f>+'Deuda Interna'!D11</f>
        <v>4109009.0159999998</v>
      </c>
      <c r="K309" s="260">
        <f>SUM(J308:J314)</f>
        <v>4092883.5759999994</v>
      </c>
      <c r="L309" s="398" t="e">
        <f>#N/A</f>
        <v>#N/A</v>
      </c>
      <c r="M309" s="398"/>
      <c r="N309" s="398"/>
      <c r="O309" s="398"/>
    </row>
    <row r="310" spans="1:15" ht="12.75">
      <c r="A310" s="248"/>
      <c r="B310" s="259"/>
      <c r="C310" s="68"/>
      <c r="D310" s="457" t="s">
        <v>433</v>
      </c>
      <c r="E310" s="452" t="s">
        <v>359</v>
      </c>
      <c r="F310" s="406" t="s">
        <v>96</v>
      </c>
      <c r="G310" s="406" t="s">
        <v>361</v>
      </c>
      <c r="H310" s="406" t="s">
        <v>358</v>
      </c>
      <c r="I310" s="465" t="s">
        <v>100</v>
      </c>
      <c r="J310" s="506">
        <v>111960.51</v>
      </c>
      <c r="K310" s="260">
        <f>+K308-K309</f>
        <v>-92883.575999999419</v>
      </c>
      <c r="L310" s="398" t="e">
        <f>#N/A</f>
        <v>#N/A</v>
      </c>
      <c r="M310" s="398"/>
      <c r="N310" s="398"/>
      <c r="O310" s="398"/>
    </row>
    <row r="311" spans="1:15" ht="12.75">
      <c r="A311" s="248"/>
      <c r="B311" s="259"/>
      <c r="C311" s="68"/>
      <c r="D311" s="457" t="s">
        <v>433</v>
      </c>
      <c r="E311" s="452" t="s">
        <v>359</v>
      </c>
      <c r="F311" s="406" t="s">
        <v>96</v>
      </c>
      <c r="G311" s="452" t="s">
        <v>361</v>
      </c>
      <c r="H311" s="406" t="s">
        <v>362</v>
      </c>
      <c r="I311" s="465" t="s">
        <v>101</v>
      </c>
      <c r="J311" s="506"/>
      <c r="K311" s="260"/>
      <c r="L311" s="398" t="e">
        <f>#N/A</f>
        <v>#N/A</v>
      </c>
      <c r="M311" s="398"/>
      <c r="N311" s="398"/>
      <c r="O311" s="398"/>
    </row>
    <row r="312" spans="1:15" ht="12.75">
      <c r="A312" s="248"/>
      <c r="B312" s="259"/>
      <c r="C312" s="68"/>
      <c r="D312" s="457" t="s">
        <v>433</v>
      </c>
      <c r="E312" s="452" t="s">
        <v>359</v>
      </c>
      <c r="F312" s="406" t="s">
        <v>96</v>
      </c>
      <c r="G312" s="452" t="s">
        <v>362</v>
      </c>
      <c r="H312" s="406" t="s">
        <v>359</v>
      </c>
      <c r="I312" s="465" t="s">
        <v>102</v>
      </c>
      <c r="J312" s="506"/>
      <c r="K312" s="260"/>
      <c r="L312" s="398" t="e">
        <f>#N/A</f>
        <v>#N/A</v>
      </c>
      <c r="M312" s="398"/>
      <c r="N312" s="398"/>
      <c r="O312" s="398"/>
    </row>
    <row r="313" spans="1:15" ht="13.5" customHeight="1">
      <c r="A313" s="248"/>
      <c r="B313" s="259"/>
      <c r="C313" s="68"/>
      <c r="D313" s="457" t="s">
        <v>433</v>
      </c>
      <c r="E313" s="452" t="s">
        <v>359</v>
      </c>
      <c r="F313" s="406" t="s">
        <v>108</v>
      </c>
      <c r="G313" s="452" t="s">
        <v>109</v>
      </c>
      <c r="H313" s="406" t="s">
        <v>360</v>
      </c>
      <c r="I313" s="447" t="s">
        <v>128</v>
      </c>
      <c r="J313" s="506"/>
      <c r="K313" s="260"/>
      <c r="L313" s="398" t="e">
        <f>#N/A</f>
        <v>#N/A</v>
      </c>
      <c r="M313" s="398"/>
      <c r="N313" s="398"/>
      <c r="O313" s="398"/>
    </row>
    <row r="314" spans="1:15" ht="5.25" customHeight="1">
      <c r="A314" s="249"/>
      <c r="B314" s="245"/>
      <c r="C314" s="84"/>
      <c r="D314" s="458"/>
      <c r="E314" s="450"/>
      <c r="F314" s="449"/>
      <c r="G314" s="450"/>
      <c r="H314" s="449"/>
      <c r="I314" s="490"/>
      <c r="J314" s="501"/>
      <c r="K314" s="260"/>
      <c r="L314" s="398"/>
      <c r="M314" s="398"/>
      <c r="N314" s="398"/>
      <c r="O314" s="398"/>
    </row>
    <row r="315" spans="1:15" ht="25.5">
      <c r="A315" s="212" t="s">
        <v>0</v>
      </c>
      <c r="B315" s="543" t="s">
        <v>5</v>
      </c>
      <c r="C315" s="62"/>
      <c r="D315" s="544" t="s">
        <v>433</v>
      </c>
      <c r="E315" s="516" t="s">
        <v>358</v>
      </c>
      <c r="F315" s="516" t="s">
        <v>129</v>
      </c>
      <c r="G315" s="517" t="s">
        <v>359</v>
      </c>
      <c r="H315" s="516" t="s">
        <v>359</v>
      </c>
      <c r="I315" s="545" t="s">
        <v>1073</v>
      </c>
      <c r="J315" s="546">
        <f>+C315</f>
        <v>0</v>
      </c>
      <c r="K315" s="260"/>
      <c r="L315" s="398">
        <f>+J315</f>
        <v>0</v>
      </c>
      <c r="M315" s="398"/>
      <c r="N315" s="398"/>
      <c r="O315" s="398"/>
    </row>
    <row r="316" spans="1:15" ht="27.75" customHeight="1">
      <c r="A316" s="248" t="s">
        <v>6</v>
      </c>
      <c r="B316" s="392" t="s">
        <v>41</v>
      </c>
      <c r="C316" s="68">
        <f>+'Ingreso Interno'!C97</f>
        <v>7423879.1299999999</v>
      </c>
      <c r="D316" s="457" t="s">
        <v>49</v>
      </c>
      <c r="E316" s="452" t="s">
        <v>364</v>
      </c>
      <c r="F316" s="406" t="s">
        <v>120</v>
      </c>
      <c r="G316" s="452" t="s">
        <v>360</v>
      </c>
      <c r="H316" s="406" t="s">
        <v>358</v>
      </c>
      <c r="I316" s="467" t="s">
        <v>1003</v>
      </c>
      <c r="J316" s="505">
        <f>+C316*51%</f>
        <v>3786178.3563000001</v>
      </c>
      <c r="K316" s="260">
        <f>+C316</f>
        <v>7423879.1299999999</v>
      </c>
      <c r="L316" s="398"/>
      <c r="M316" s="398"/>
      <c r="N316" s="398"/>
      <c r="O316" s="398"/>
    </row>
    <row r="317" spans="1:15" ht="15" customHeight="1">
      <c r="A317" s="248"/>
      <c r="B317" s="392"/>
      <c r="C317" s="68"/>
      <c r="D317" s="461" t="s">
        <v>49</v>
      </c>
      <c r="E317" s="406" t="s">
        <v>364</v>
      </c>
      <c r="F317" s="406" t="s">
        <v>108</v>
      </c>
      <c r="G317" s="452" t="s">
        <v>360</v>
      </c>
      <c r="H317" s="406" t="s">
        <v>358</v>
      </c>
      <c r="I317" s="478" t="s">
        <v>578</v>
      </c>
      <c r="J317" s="505">
        <v>150000</v>
      </c>
      <c r="K317" s="260">
        <f>SUM(J316:J319)</f>
        <v>5291021.2763</v>
      </c>
      <c r="L317" s="398"/>
      <c r="M317" s="398"/>
      <c r="N317" s="398"/>
      <c r="O317" s="398"/>
    </row>
    <row r="318" spans="1:15" ht="15" customHeight="1">
      <c r="A318" s="248"/>
      <c r="B318" s="392"/>
      <c r="C318" s="68"/>
      <c r="D318" s="457" t="s">
        <v>49</v>
      </c>
      <c r="E318" s="452" t="s">
        <v>364</v>
      </c>
      <c r="F318" s="406" t="s">
        <v>108</v>
      </c>
      <c r="G318" s="406" t="s">
        <v>360</v>
      </c>
      <c r="H318" s="406" t="s">
        <v>358</v>
      </c>
      <c r="I318" s="478" t="s">
        <v>578</v>
      </c>
      <c r="J318" s="505">
        <v>1000000</v>
      </c>
      <c r="K318" s="260"/>
      <c r="L318" s="398"/>
      <c r="M318" s="398"/>
      <c r="N318" s="398"/>
      <c r="O318" s="398"/>
    </row>
    <row r="319" spans="1:15" ht="12.75" customHeight="1">
      <c r="A319" s="248"/>
      <c r="B319" s="392"/>
      <c r="C319" s="68"/>
      <c r="D319" s="457" t="s">
        <v>433</v>
      </c>
      <c r="E319" s="406" t="s">
        <v>359</v>
      </c>
      <c r="F319" s="406" t="s">
        <v>104</v>
      </c>
      <c r="G319" s="406" t="s">
        <v>362</v>
      </c>
      <c r="H319" s="406" t="s">
        <v>358</v>
      </c>
      <c r="I319" s="465" t="s">
        <v>111</v>
      </c>
      <c r="J319" s="505">
        <v>354842.92</v>
      </c>
      <c r="K319" s="260">
        <f>+K316-K317</f>
        <v>2132857.8536999999</v>
      </c>
      <c r="L319" s="398">
        <f>+J319</f>
        <v>354842.92</v>
      </c>
      <c r="M319" s="398"/>
      <c r="N319" s="398"/>
      <c r="O319" s="398"/>
    </row>
    <row r="320" spans="1:15" ht="6" customHeight="1">
      <c r="A320" s="248"/>
      <c r="B320" s="392"/>
      <c r="C320" s="68"/>
      <c r="D320" s="457"/>
      <c r="E320" s="452"/>
      <c r="F320" s="406"/>
      <c r="G320" s="452"/>
      <c r="H320" s="406"/>
      <c r="I320" s="467"/>
      <c r="J320" s="505"/>
      <c r="K320" s="260"/>
      <c r="L320" s="398"/>
      <c r="M320" s="398"/>
      <c r="N320" s="398"/>
      <c r="O320" s="398"/>
    </row>
    <row r="321" spans="1:15" ht="10.5" customHeight="1">
      <c r="A321" s="249"/>
      <c r="B321" s="322"/>
      <c r="C321" s="84"/>
      <c r="D321" s="458"/>
      <c r="E321" s="450"/>
      <c r="F321" s="449"/>
      <c r="G321" s="450"/>
      <c r="H321" s="449"/>
      <c r="I321" s="488"/>
      <c r="J321" s="501"/>
      <c r="K321" s="260"/>
      <c r="L321" s="398"/>
      <c r="M321" s="398"/>
      <c r="N321" s="398"/>
      <c r="O321" s="398"/>
    </row>
    <row r="322" spans="1:15" ht="25.5" customHeight="1">
      <c r="A322" s="246" t="s">
        <v>12</v>
      </c>
      <c r="B322" s="340" t="s">
        <v>18</v>
      </c>
      <c r="C322" s="70">
        <f>+'Ingreso Interno'!C102</f>
        <v>2067899674.9300001</v>
      </c>
      <c r="D322" s="457" t="s">
        <v>49</v>
      </c>
      <c r="E322" s="452" t="s">
        <v>359</v>
      </c>
      <c r="F322" s="406" t="s">
        <v>96</v>
      </c>
      <c r="G322" s="406" t="s">
        <v>358</v>
      </c>
      <c r="H322" s="406" t="s">
        <v>358</v>
      </c>
      <c r="I322" s="447" t="s">
        <v>1031</v>
      </c>
      <c r="J322" s="496">
        <f>+'Distribucion Programas III UTGV'!C12</f>
        <v>124999446.63957407</v>
      </c>
      <c r="K322" s="260">
        <f>+C322</f>
        <v>2067899674.9300001</v>
      </c>
    </row>
    <row r="323" spans="1:15" ht="15" customHeight="1">
      <c r="A323" s="248"/>
      <c r="B323" s="340"/>
      <c r="C323" s="277"/>
      <c r="D323" s="457" t="s">
        <v>49</v>
      </c>
      <c r="E323" s="452" t="s">
        <v>359</v>
      </c>
      <c r="F323" s="406" t="s">
        <v>96</v>
      </c>
      <c r="G323" s="406" t="s">
        <v>358</v>
      </c>
      <c r="H323" s="406" t="s">
        <v>359</v>
      </c>
      <c r="I323" s="447" t="s">
        <v>97</v>
      </c>
      <c r="J323" s="504">
        <f>+'Distribucion Programas III UTGV'!C13</f>
        <v>35000000</v>
      </c>
      <c r="K323" s="260" t="e">
        <f>SUM(J322:J360)</f>
        <v>#REF!</v>
      </c>
    </row>
    <row r="324" spans="1:15" ht="15" customHeight="1">
      <c r="A324" s="248"/>
      <c r="B324" s="340"/>
      <c r="C324" s="277"/>
      <c r="D324" s="457" t="s">
        <v>49</v>
      </c>
      <c r="E324" s="452" t="s">
        <v>359</v>
      </c>
      <c r="F324" s="406" t="s">
        <v>96</v>
      </c>
      <c r="G324" s="406" t="s">
        <v>358</v>
      </c>
      <c r="H324" s="406" t="s">
        <v>362</v>
      </c>
      <c r="I324" s="447" t="s">
        <v>442</v>
      </c>
      <c r="J324" s="504">
        <f>+'Distribucion Programas III UTGV'!C16</f>
        <v>8602597.6939169522</v>
      </c>
      <c r="K324" s="260"/>
    </row>
    <row r="325" spans="1:15" ht="13.5" customHeight="1">
      <c r="A325" s="248"/>
      <c r="B325" s="248"/>
      <c r="C325" s="277"/>
      <c r="D325" s="457" t="s">
        <v>49</v>
      </c>
      <c r="E325" s="452" t="s">
        <v>359</v>
      </c>
      <c r="F325" s="406" t="s">
        <v>96</v>
      </c>
      <c r="G325" s="406" t="s">
        <v>358</v>
      </c>
      <c r="H325" s="406" t="s">
        <v>360</v>
      </c>
      <c r="I325" s="447" t="s">
        <v>902</v>
      </c>
      <c r="J325" s="469">
        <f>+'Distribucion Programas III UTGV'!C19</f>
        <v>60000000</v>
      </c>
      <c r="K325" s="260" t="e">
        <f>+K322-K323</f>
        <v>#REF!</v>
      </c>
    </row>
    <row r="326" spans="1:15" ht="13.5" customHeight="1">
      <c r="A326" s="248"/>
      <c r="B326" s="248"/>
      <c r="C326" s="277"/>
      <c r="D326" s="457" t="s">
        <v>49</v>
      </c>
      <c r="E326" s="452" t="s">
        <v>359</v>
      </c>
      <c r="F326" s="406" t="s">
        <v>96</v>
      </c>
      <c r="G326" s="406" t="s">
        <v>360</v>
      </c>
      <c r="H326" s="406" t="s">
        <v>358</v>
      </c>
      <c r="I326" s="447" t="s">
        <v>98</v>
      </c>
      <c r="J326" s="469">
        <f>+'Distribucion Programas III UTGV'!C26</f>
        <v>49227941.089777224</v>
      </c>
      <c r="K326" s="260"/>
    </row>
    <row r="327" spans="1:15" ht="13.5" customHeight="1">
      <c r="A327" s="248"/>
      <c r="B327" s="248"/>
      <c r="C327" s="277"/>
      <c r="D327" s="457" t="s">
        <v>49</v>
      </c>
      <c r="E327" s="452" t="s">
        <v>359</v>
      </c>
      <c r="F327" s="406" t="s">
        <v>96</v>
      </c>
      <c r="G327" s="406" t="s">
        <v>360</v>
      </c>
      <c r="H327" s="406" t="s">
        <v>360</v>
      </c>
      <c r="I327" s="465" t="s">
        <v>99</v>
      </c>
      <c r="J327" s="469">
        <f>+'Distribucion Programas III UTGV'!C28</f>
        <v>32738157.108159468</v>
      </c>
      <c r="K327" s="260"/>
    </row>
    <row r="328" spans="1:15" ht="13.5" customHeight="1">
      <c r="A328" s="248"/>
      <c r="B328" s="248"/>
      <c r="C328" s="277"/>
      <c r="D328" s="457" t="s">
        <v>49</v>
      </c>
      <c r="E328" s="452" t="s">
        <v>359</v>
      </c>
      <c r="F328" s="406" t="s">
        <v>96</v>
      </c>
      <c r="G328" s="406" t="s">
        <v>360</v>
      </c>
      <c r="H328" s="406" t="s">
        <v>361</v>
      </c>
      <c r="I328" s="465" t="s">
        <v>1075</v>
      </c>
      <c r="J328" s="469">
        <v>0</v>
      </c>
      <c r="K328" s="260"/>
    </row>
    <row r="329" spans="1:15" ht="13.5" customHeight="1">
      <c r="A329" s="248"/>
      <c r="B329" s="248"/>
      <c r="C329" s="277"/>
      <c r="D329" s="457" t="s">
        <v>49</v>
      </c>
      <c r="E329" s="452" t="s">
        <v>359</v>
      </c>
      <c r="F329" s="406" t="s">
        <v>96</v>
      </c>
      <c r="G329" s="406" t="s">
        <v>361</v>
      </c>
      <c r="H329" s="406" t="s">
        <v>358</v>
      </c>
      <c r="I329" s="465" t="s">
        <v>100</v>
      </c>
      <c r="J329" s="469">
        <f>+'Distribucion Programas III UTGV'!C33</f>
        <v>36353895.948436379</v>
      </c>
      <c r="K329" s="260"/>
    </row>
    <row r="330" spans="1:15" ht="13.5" customHeight="1">
      <c r="A330" s="248"/>
      <c r="B330" s="248"/>
      <c r="C330" s="277"/>
      <c r="D330" s="457" t="s">
        <v>49</v>
      </c>
      <c r="E330" s="452" t="s">
        <v>359</v>
      </c>
      <c r="F330" s="406" t="s">
        <v>96</v>
      </c>
      <c r="G330" s="406" t="s">
        <v>361</v>
      </c>
      <c r="H330" s="406" t="s">
        <v>362</v>
      </c>
      <c r="I330" s="465" t="s">
        <v>101</v>
      </c>
      <c r="J330" s="469">
        <f>+'Distribucion Programas III UTGV'!C37</f>
        <v>1965075.456672237</v>
      </c>
      <c r="K330" s="260"/>
    </row>
    <row r="331" spans="1:15" ht="13.5" customHeight="1">
      <c r="A331" s="248"/>
      <c r="B331" s="248"/>
      <c r="C331" s="277"/>
      <c r="D331" s="457" t="s">
        <v>49</v>
      </c>
      <c r="E331" s="452" t="s">
        <v>359</v>
      </c>
      <c r="F331" s="406" t="s">
        <v>96</v>
      </c>
      <c r="G331" s="406" t="s">
        <v>362</v>
      </c>
      <c r="H331" s="406" t="s">
        <v>359</v>
      </c>
      <c r="I331" s="465" t="s">
        <v>102</v>
      </c>
      <c r="J331" s="469">
        <f>+'Distribucion Programas III UTGV'!C42</f>
        <v>5895226.3700167108</v>
      </c>
      <c r="K331" s="260"/>
    </row>
    <row r="332" spans="1:15" ht="13.5" customHeight="1">
      <c r="A332" s="248"/>
      <c r="B332" s="248"/>
      <c r="C332" s="277"/>
      <c r="D332" s="457" t="s">
        <v>49</v>
      </c>
      <c r="E332" s="452" t="s">
        <v>359</v>
      </c>
      <c r="F332" s="406" t="s">
        <v>96</v>
      </c>
      <c r="G332" s="406" t="s">
        <v>362</v>
      </c>
      <c r="H332" s="406" t="s">
        <v>360</v>
      </c>
      <c r="I332" s="465" t="s">
        <v>103</v>
      </c>
      <c r="J332" s="469">
        <f>+'Distribucion Programas III UTGV'!C43</f>
        <v>11790452.740033422</v>
      </c>
      <c r="K332" s="260"/>
    </row>
    <row r="333" spans="1:15" ht="13.5" customHeight="1">
      <c r="A333" s="248"/>
      <c r="B333" s="248"/>
      <c r="C333" s="277"/>
      <c r="D333" s="457" t="s">
        <v>49</v>
      </c>
      <c r="E333" s="452" t="s">
        <v>359</v>
      </c>
      <c r="F333" s="406" t="s">
        <v>104</v>
      </c>
      <c r="G333" s="452" t="s">
        <v>359</v>
      </c>
      <c r="H333" s="406" t="s">
        <v>358</v>
      </c>
      <c r="I333" s="465" t="s">
        <v>1079</v>
      </c>
      <c r="J333" s="469">
        <f>+'Distribucion Programas III UTGV'!C60</f>
        <v>2500000</v>
      </c>
      <c r="K333" s="260"/>
    </row>
    <row r="334" spans="1:15" ht="13.5" customHeight="1">
      <c r="A334" s="248"/>
      <c r="B334" s="248"/>
      <c r="C334" s="277"/>
      <c r="D334" s="457" t="s">
        <v>49</v>
      </c>
      <c r="E334" s="452" t="s">
        <v>359</v>
      </c>
      <c r="F334" s="406" t="s">
        <v>104</v>
      </c>
      <c r="G334" s="452" t="s">
        <v>359</v>
      </c>
      <c r="H334" s="406" t="s">
        <v>359</v>
      </c>
      <c r="I334" s="465" t="s">
        <v>1080</v>
      </c>
      <c r="J334" s="469">
        <f>+'Distribucion Programas III UTGV'!C61</f>
        <v>3500000</v>
      </c>
      <c r="K334" s="260"/>
    </row>
    <row r="335" spans="1:15" ht="13.5" customHeight="1">
      <c r="A335" s="248"/>
      <c r="B335" s="248"/>
      <c r="C335" s="277"/>
      <c r="D335" s="457" t="s">
        <v>49</v>
      </c>
      <c r="E335" s="452" t="s">
        <v>359</v>
      </c>
      <c r="F335" s="406" t="s">
        <v>104</v>
      </c>
      <c r="G335" s="452" t="s">
        <v>359</v>
      </c>
      <c r="H335" s="406" t="s">
        <v>361</v>
      </c>
      <c r="I335" s="465" t="s">
        <v>1081</v>
      </c>
      <c r="J335" s="469">
        <f>+'Distribucion Programas III UTGV'!C63</f>
        <v>2000000</v>
      </c>
      <c r="K335" s="260"/>
    </row>
    <row r="336" spans="1:15" ht="13.5" customHeight="1">
      <c r="A336" s="248"/>
      <c r="B336" s="248"/>
      <c r="C336" s="277"/>
      <c r="D336" s="457" t="s">
        <v>49</v>
      </c>
      <c r="E336" s="452" t="s">
        <v>359</v>
      </c>
      <c r="F336" s="406" t="s">
        <v>104</v>
      </c>
      <c r="G336" s="452" t="s">
        <v>360</v>
      </c>
      <c r="H336" s="406" t="s">
        <v>358</v>
      </c>
      <c r="I336" s="465" t="s">
        <v>1002</v>
      </c>
      <c r="J336" s="469">
        <f>+'Distribucion Programas III UTGV'!C67</f>
        <v>600000</v>
      </c>
      <c r="K336" s="260"/>
    </row>
    <row r="337" spans="1:17" ht="13.5" customHeight="1">
      <c r="A337" s="248"/>
      <c r="B337" s="248"/>
      <c r="C337" s="277"/>
      <c r="D337" s="457" t="s">
        <v>49</v>
      </c>
      <c r="E337" s="452" t="s">
        <v>359</v>
      </c>
      <c r="F337" s="406" t="s">
        <v>104</v>
      </c>
      <c r="G337" s="452" t="s">
        <v>360</v>
      </c>
      <c r="H337" s="406" t="s">
        <v>359</v>
      </c>
      <c r="I337" s="465" t="s">
        <v>1082</v>
      </c>
      <c r="J337" s="469">
        <f>+'Distribucion Programas III UTGV'!C68</f>
        <v>500000</v>
      </c>
      <c r="K337" s="260"/>
    </row>
    <row r="338" spans="1:17" ht="13.5" customHeight="1">
      <c r="A338" s="248"/>
      <c r="B338" s="248"/>
      <c r="C338" s="277"/>
      <c r="D338" s="457" t="s">
        <v>49</v>
      </c>
      <c r="E338" s="452" t="s">
        <v>359</v>
      </c>
      <c r="F338" s="406" t="s">
        <v>104</v>
      </c>
      <c r="G338" s="452" t="s">
        <v>360</v>
      </c>
      <c r="H338" s="406" t="s">
        <v>360</v>
      </c>
      <c r="I338" s="465" t="s">
        <v>1088</v>
      </c>
      <c r="J338" s="469">
        <f>+'Distribucion Programas III UTGV'!C69</f>
        <v>1000000</v>
      </c>
      <c r="K338" s="260"/>
    </row>
    <row r="339" spans="1:17" ht="13.5" customHeight="1">
      <c r="A339" s="248"/>
      <c r="B339" s="248"/>
      <c r="C339" s="277"/>
      <c r="D339" s="457" t="s">
        <v>49</v>
      </c>
      <c r="E339" s="452" t="s">
        <v>359</v>
      </c>
      <c r="F339" s="406" t="s">
        <v>104</v>
      </c>
      <c r="G339" s="452" t="s">
        <v>361</v>
      </c>
      <c r="H339" s="406" t="s">
        <v>360</v>
      </c>
      <c r="I339" s="465" t="s">
        <v>1139</v>
      </c>
      <c r="J339" s="469">
        <v>3000000</v>
      </c>
      <c r="K339" s="260"/>
    </row>
    <row r="340" spans="1:17" ht="21" customHeight="1">
      <c r="A340" s="248"/>
      <c r="B340" s="248"/>
      <c r="C340" s="277"/>
      <c r="D340" s="457" t="s">
        <v>49</v>
      </c>
      <c r="E340" s="452" t="s">
        <v>359</v>
      </c>
      <c r="F340" s="406" t="s">
        <v>104</v>
      </c>
      <c r="G340" s="452" t="s">
        <v>362</v>
      </c>
      <c r="H340" s="406" t="s">
        <v>358</v>
      </c>
      <c r="I340" s="465" t="s">
        <v>111</v>
      </c>
      <c r="J340" s="469">
        <f>+'Distribucion Programas III UTGV'!C85</f>
        <v>0</v>
      </c>
      <c r="K340" s="120"/>
      <c r="P340" s="120"/>
      <c r="Q340" s="120"/>
    </row>
    <row r="341" spans="1:17" ht="21" customHeight="1">
      <c r="A341" s="248"/>
      <c r="B341" s="248"/>
      <c r="C341" s="277"/>
      <c r="D341" s="457" t="s">
        <v>49</v>
      </c>
      <c r="E341" s="452" t="s">
        <v>359</v>
      </c>
      <c r="F341" s="406" t="s">
        <v>104</v>
      </c>
      <c r="G341" s="452" t="s">
        <v>362</v>
      </c>
      <c r="H341" s="406" t="s">
        <v>359</v>
      </c>
      <c r="I341" s="465" t="s">
        <v>105</v>
      </c>
      <c r="J341" s="469">
        <f>+'Distribucion Programas III UTGV'!C86</f>
        <v>18000000</v>
      </c>
      <c r="K341" s="120"/>
      <c r="P341" s="120"/>
      <c r="Q341" s="120"/>
    </row>
    <row r="342" spans="1:17" ht="13.5" customHeight="1">
      <c r="A342" s="248"/>
      <c r="B342" s="248"/>
      <c r="C342" s="277"/>
      <c r="D342" s="457" t="s">
        <v>49</v>
      </c>
      <c r="E342" s="452" t="s">
        <v>359</v>
      </c>
      <c r="F342" s="406" t="s">
        <v>104</v>
      </c>
      <c r="G342" s="452" t="s">
        <v>363</v>
      </c>
      <c r="H342" s="406" t="s">
        <v>358</v>
      </c>
      <c r="I342" s="466" t="s">
        <v>106</v>
      </c>
      <c r="J342" s="469">
        <f>+'Distribucion Programas III UTGV'!C91</f>
        <v>37712103.503988922</v>
      </c>
      <c r="K342" s="120"/>
      <c r="P342" s="120"/>
      <c r="Q342" s="120"/>
    </row>
    <row r="343" spans="1:17" ht="13.5" customHeight="1">
      <c r="A343" s="248"/>
      <c r="B343" s="248"/>
      <c r="C343" s="277"/>
      <c r="D343" s="457" t="s">
        <v>49</v>
      </c>
      <c r="E343" s="452" t="s">
        <v>359</v>
      </c>
      <c r="F343" s="333" t="s">
        <v>104</v>
      </c>
      <c r="G343" s="333" t="s">
        <v>107</v>
      </c>
      <c r="H343" s="406" t="s">
        <v>358</v>
      </c>
      <c r="I343" s="466" t="s">
        <v>1083</v>
      </c>
      <c r="J343" s="469">
        <f>+'Distribucion Programas III UTGV'!C101</f>
        <v>3000000</v>
      </c>
      <c r="K343" s="120"/>
      <c r="P343" s="120"/>
      <c r="Q343" s="120"/>
    </row>
    <row r="344" spans="1:17" ht="13.5" customHeight="1">
      <c r="A344" s="248"/>
      <c r="B344" s="248"/>
      <c r="C344" s="277"/>
      <c r="D344" s="457" t="s">
        <v>49</v>
      </c>
      <c r="E344" s="452" t="s">
        <v>359</v>
      </c>
      <c r="F344" s="333" t="s">
        <v>104</v>
      </c>
      <c r="G344" s="333" t="s">
        <v>107</v>
      </c>
      <c r="H344" s="406" t="s">
        <v>361</v>
      </c>
      <c r="I344" s="466" t="s">
        <v>1084</v>
      </c>
      <c r="J344" s="469">
        <f>+'Distribucion Programas III UTGV'!C104</f>
        <v>15000000</v>
      </c>
      <c r="K344" s="120"/>
      <c r="P344" s="120"/>
      <c r="Q344" s="120"/>
    </row>
    <row r="345" spans="1:17" ht="13.5" customHeight="1">
      <c r="A345" s="248"/>
      <c r="B345" s="248"/>
      <c r="C345" s="277"/>
      <c r="D345" s="457" t="s">
        <v>49</v>
      </c>
      <c r="E345" s="452" t="s">
        <v>359</v>
      </c>
      <c r="F345" s="333" t="s">
        <v>104</v>
      </c>
      <c r="G345" s="333" t="s">
        <v>107</v>
      </c>
      <c r="H345" s="406" t="s">
        <v>362</v>
      </c>
      <c r="I345" s="466" t="s">
        <v>1116</v>
      </c>
      <c r="J345" s="469">
        <v>5000000</v>
      </c>
      <c r="K345" s="120"/>
      <c r="P345" s="120"/>
      <c r="Q345" s="120"/>
    </row>
    <row r="346" spans="1:17" ht="13.5" customHeight="1">
      <c r="A346" s="248"/>
      <c r="B346" s="248"/>
      <c r="C346" s="277"/>
      <c r="D346" s="457" t="s">
        <v>49</v>
      </c>
      <c r="E346" s="452" t="s">
        <v>359</v>
      </c>
      <c r="F346" s="333" t="s">
        <v>104</v>
      </c>
      <c r="G346" s="333" t="s">
        <v>107</v>
      </c>
      <c r="H346" s="333" t="s">
        <v>362</v>
      </c>
      <c r="I346" s="466" t="s">
        <v>1085</v>
      </c>
      <c r="J346" s="469">
        <v>1000000</v>
      </c>
      <c r="K346" s="260"/>
    </row>
    <row r="347" spans="1:17" ht="13.5" customHeight="1">
      <c r="A347" s="248"/>
      <c r="B347" s="248"/>
      <c r="C347" s="277"/>
      <c r="D347" s="457" t="s">
        <v>49</v>
      </c>
      <c r="E347" s="452" t="s">
        <v>359</v>
      </c>
      <c r="F347" s="333" t="s">
        <v>104</v>
      </c>
      <c r="G347" s="333" t="s">
        <v>365</v>
      </c>
      <c r="H347" s="333" t="s">
        <v>109</v>
      </c>
      <c r="I347" s="466" t="s">
        <v>546</v>
      </c>
      <c r="J347" s="469">
        <v>1500000</v>
      </c>
      <c r="K347" s="260"/>
    </row>
    <row r="348" spans="1:17" ht="13.5" customHeight="1">
      <c r="A348" s="248"/>
      <c r="B348" s="248"/>
      <c r="C348" s="277"/>
      <c r="D348" s="457" t="s">
        <v>49</v>
      </c>
      <c r="E348" s="452" t="s">
        <v>359</v>
      </c>
      <c r="F348" s="333" t="s">
        <v>108</v>
      </c>
      <c r="G348" s="333" t="s">
        <v>358</v>
      </c>
      <c r="H348" s="333" t="s">
        <v>358</v>
      </c>
      <c r="I348" s="466" t="s">
        <v>125</v>
      </c>
      <c r="J348" s="469">
        <f>+'Distribucion Programas III UTGV'!C127</f>
        <v>16850000</v>
      </c>
      <c r="K348" s="260"/>
    </row>
    <row r="349" spans="1:17" ht="13.5" customHeight="1">
      <c r="A349" s="248"/>
      <c r="B349" s="248"/>
      <c r="C349" s="277"/>
      <c r="D349" s="457" t="s">
        <v>49</v>
      </c>
      <c r="E349" s="452" t="s">
        <v>359</v>
      </c>
      <c r="F349" s="333" t="s">
        <v>108</v>
      </c>
      <c r="G349" s="333" t="s">
        <v>360</v>
      </c>
      <c r="H349" s="333" t="s">
        <v>359</v>
      </c>
      <c r="I349" s="466" t="s">
        <v>1115</v>
      </c>
      <c r="J349" s="469" t="e">
        <f>+'Distrib Programas III Poyectos'!#REF!-'Distrib Programas III Poyectos'!#REF!-'Distrib Programas III Poyectos'!#REF!</f>
        <v>#REF!</v>
      </c>
      <c r="K349" s="260"/>
    </row>
    <row r="350" spans="1:17" ht="13.5" customHeight="1">
      <c r="A350" s="248"/>
      <c r="B350" s="248"/>
      <c r="C350" s="277"/>
      <c r="D350" s="457" t="s">
        <v>49</v>
      </c>
      <c r="E350" s="452" t="s">
        <v>359</v>
      </c>
      <c r="F350" s="333" t="s">
        <v>108</v>
      </c>
      <c r="G350" s="333" t="s">
        <v>361</v>
      </c>
      <c r="H350" s="333" t="s">
        <v>358</v>
      </c>
      <c r="I350" s="466" t="s">
        <v>1113</v>
      </c>
      <c r="J350" s="469">
        <v>500000</v>
      </c>
      <c r="K350" s="260"/>
    </row>
    <row r="351" spans="1:17" ht="13.5" customHeight="1">
      <c r="A351" s="248"/>
      <c r="B351" s="248"/>
      <c r="C351" s="277"/>
      <c r="D351" s="457" t="s">
        <v>49</v>
      </c>
      <c r="E351" s="452" t="s">
        <v>359</v>
      </c>
      <c r="F351" s="333" t="s">
        <v>108</v>
      </c>
      <c r="G351" s="333" t="s">
        <v>361</v>
      </c>
      <c r="H351" s="333" t="s">
        <v>359</v>
      </c>
      <c r="I351" s="466" t="s">
        <v>126</v>
      </c>
      <c r="J351" s="469">
        <f>+'Distribucion Programas III UTGV'!C151</f>
        <v>30263488.739999998</v>
      </c>
      <c r="K351" s="260"/>
    </row>
    <row r="352" spans="1:17" ht="13.5" customHeight="1">
      <c r="A352" s="248"/>
      <c r="B352" s="248"/>
      <c r="C352" s="277"/>
      <c r="D352" s="457" t="s">
        <v>49</v>
      </c>
      <c r="E352" s="452" t="s">
        <v>359</v>
      </c>
      <c r="F352" s="333" t="s">
        <v>108</v>
      </c>
      <c r="G352" s="333" t="s">
        <v>109</v>
      </c>
      <c r="H352" s="333" t="s">
        <v>358</v>
      </c>
      <c r="I352" s="466" t="s">
        <v>127</v>
      </c>
      <c r="J352" s="469">
        <f>+'Distribucion Programas III UTGV'!C160</f>
        <v>1500000</v>
      </c>
      <c r="K352" s="260"/>
      <c r="Q352" s="260"/>
    </row>
    <row r="353" spans="1:17" ht="13.5" customHeight="1">
      <c r="A353" s="248"/>
      <c r="B353" s="248"/>
      <c r="C353" s="277"/>
      <c r="D353" s="457" t="s">
        <v>49</v>
      </c>
      <c r="E353" s="452" t="s">
        <v>359</v>
      </c>
      <c r="F353" s="406" t="s">
        <v>108</v>
      </c>
      <c r="G353" s="452" t="s">
        <v>109</v>
      </c>
      <c r="H353" s="406" t="s">
        <v>362</v>
      </c>
      <c r="I353" s="447" t="s">
        <v>128</v>
      </c>
      <c r="J353" s="469">
        <f>+'Distribucion Programas III UTGV'!C162</f>
        <v>1500000</v>
      </c>
      <c r="K353" s="260"/>
      <c r="Q353" s="260"/>
    </row>
    <row r="354" spans="1:17" ht="13.5" customHeight="1">
      <c r="A354" s="248"/>
      <c r="B354" s="248"/>
      <c r="C354" s="277"/>
      <c r="D354" s="457" t="s">
        <v>49</v>
      </c>
      <c r="E354" s="452" t="s">
        <v>359</v>
      </c>
      <c r="F354" s="406" t="s">
        <v>108</v>
      </c>
      <c r="G354" s="452" t="s">
        <v>109</v>
      </c>
      <c r="H354" s="406" t="s">
        <v>362</v>
      </c>
      <c r="I354" s="447" t="s">
        <v>896</v>
      </c>
      <c r="J354" s="469">
        <f>+'Distribucion Programas III UTGV'!C164</f>
        <v>1500000</v>
      </c>
      <c r="K354" s="260"/>
      <c r="Q354" s="260"/>
    </row>
    <row r="355" spans="1:17" ht="13.5" customHeight="1">
      <c r="A355" s="248"/>
      <c r="B355" s="248"/>
      <c r="C355" s="277"/>
      <c r="D355" s="457" t="s">
        <v>49</v>
      </c>
      <c r="E355" s="452" t="s">
        <v>359</v>
      </c>
      <c r="F355" s="406" t="s">
        <v>120</v>
      </c>
      <c r="G355" s="452" t="s">
        <v>109</v>
      </c>
      <c r="H355" s="406" t="s">
        <v>363</v>
      </c>
      <c r="I355" s="447" t="s">
        <v>1114</v>
      </c>
      <c r="J355" s="469">
        <v>500000</v>
      </c>
      <c r="K355" s="260"/>
      <c r="Q355" s="260"/>
    </row>
    <row r="356" spans="1:17" ht="13.5" customHeight="1">
      <c r="A356" s="248"/>
      <c r="B356" s="248"/>
      <c r="C356" s="277"/>
      <c r="D356" s="457" t="s">
        <v>49</v>
      </c>
      <c r="E356" s="452" t="s">
        <v>359</v>
      </c>
      <c r="F356" s="406" t="s">
        <v>120</v>
      </c>
      <c r="G356" s="452" t="s">
        <v>358</v>
      </c>
      <c r="H356" s="406" t="s">
        <v>359</v>
      </c>
      <c r="I356" s="447" t="s">
        <v>1071</v>
      </c>
      <c r="J356" s="469">
        <v>8000000</v>
      </c>
      <c r="K356" s="260"/>
      <c r="Q356" s="260"/>
    </row>
    <row r="357" spans="1:17" ht="15.75" customHeight="1">
      <c r="A357" s="248"/>
      <c r="B357" s="248"/>
      <c r="C357" s="277"/>
      <c r="D357" s="457" t="s">
        <v>49</v>
      </c>
      <c r="E357" s="452" t="s">
        <v>359</v>
      </c>
      <c r="F357" s="406" t="s">
        <v>120</v>
      </c>
      <c r="G357" s="452" t="s">
        <v>358</v>
      </c>
      <c r="H357" s="406" t="s">
        <v>361</v>
      </c>
      <c r="I357" s="447" t="s">
        <v>736</v>
      </c>
      <c r="J357" s="469">
        <f>+'Distribucion Programas III UTGV'!C227</f>
        <v>2000000</v>
      </c>
      <c r="K357" s="260"/>
    </row>
    <row r="358" spans="1:17" ht="15.75" customHeight="1">
      <c r="A358" s="248"/>
      <c r="B358" s="248"/>
      <c r="C358" s="277"/>
      <c r="D358" s="457" t="s">
        <v>49</v>
      </c>
      <c r="E358" s="452" t="s">
        <v>359</v>
      </c>
      <c r="F358" s="406" t="s">
        <v>120</v>
      </c>
      <c r="G358" s="452" t="s">
        <v>358</v>
      </c>
      <c r="H358" s="406" t="s">
        <v>362</v>
      </c>
      <c r="I358" s="447" t="s">
        <v>554</v>
      </c>
      <c r="J358" s="469">
        <f>+'Distribucion Programas III UTGV'!C228</f>
        <v>2500000</v>
      </c>
      <c r="K358" s="260"/>
    </row>
    <row r="359" spans="1:17" ht="12.75" customHeight="1">
      <c r="A359" s="248"/>
      <c r="B359" s="248"/>
      <c r="C359" s="277"/>
      <c r="D359" s="457" t="s">
        <v>49</v>
      </c>
      <c r="E359" s="452" t="s">
        <v>359</v>
      </c>
      <c r="F359" s="406" t="s">
        <v>120</v>
      </c>
      <c r="G359" s="452" t="s">
        <v>359</v>
      </c>
      <c r="H359" s="405" t="s">
        <v>359</v>
      </c>
      <c r="I359" s="447" t="s">
        <v>1063</v>
      </c>
      <c r="J359" s="469">
        <f>+'Distrib Programas III Poyectos'!X10</f>
        <v>702069268.14814818</v>
      </c>
      <c r="K359" s="260"/>
    </row>
    <row r="360" spans="1:17" ht="14.25" customHeight="1">
      <c r="A360" s="248"/>
      <c r="B360" s="248"/>
      <c r="C360" s="277"/>
      <c r="D360" s="457" t="s">
        <v>49</v>
      </c>
      <c r="E360" s="452" t="s">
        <v>359</v>
      </c>
      <c r="F360" s="406" t="s">
        <v>120</v>
      </c>
      <c r="G360" s="452" t="s">
        <v>359</v>
      </c>
      <c r="H360" s="405" t="s">
        <v>109</v>
      </c>
      <c r="I360" s="447" t="s">
        <v>1140</v>
      </c>
      <c r="J360" s="469">
        <v>15000000</v>
      </c>
      <c r="K360" s="260"/>
    </row>
    <row r="361" spans="1:17" ht="6.75" customHeight="1">
      <c r="A361" s="249"/>
      <c r="B361" s="491"/>
      <c r="C361" s="72"/>
      <c r="D361" s="458"/>
      <c r="E361" s="487"/>
      <c r="F361" s="449"/>
      <c r="G361" s="450"/>
      <c r="H361" s="449"/>
      <c r="I361" s="488"/>
      <c r="J361" s="489"/>
      <c r="K361" s="260"/>
    </row>
    <row r="362" spans="1:17" ht="38.25">
      <c r="A362" s="249" t="s">
        <v>15</v>
      </c>
      <c r="B362" s="514" t="s">
        <v>32</v>
      </c>
      <c r="C362" s="62">
        <f>+'Ingreso Contraloría'!C88</f>
        <v>1030510.07</v>
      </c>
      <c r="D362" s="515" t="s">
        <v>48</v>
      </c>
      <c r="E362" s="516" t="s">
        <v>360</v>
      </c>
      <c r="F362" s="517" t="s">
        <v>108</v>
      </c>
      <c r="G362" s="516" t="s">
        <v>358</v>
      </c>
      <c r="H362" s="517" t="s">
        <v>358</v>
      </c>
      <c r="I362" s="492"/>
      <c r="J362" s="551">
        <f>+C362</f>
        <v>1030510.07</v>
      </c>
      <c r="K362" s="260"/>
      <c r="M362" s="120">
        <f>+J362</f>
        <v>1030510.07</v>
      </c>
    </row>
    <row r="363" spans="1:17" ht="12.75">
      <c r="A363" s="399" t="s">
        <v>24</v>
      </c>
      <c r="B363" s="400"/>
      <c r="C363" s="401">
        <f>SUM(C9:C362)</f>
        <v>2791773064.1300001</v>
      </c>
      <c r="D363" s="402"/>
      <c r="E363" s="403"/>
      <c r="F363" s="403"/>
      <c r="G363" s="403"/>
      <c r="H363" s="403"/>
      <c r="I363" s="63"/>
      <c r="J363" s="401" t="e">
        <f>SUM(J9:J362)</f>
        <v>#REF!</v>
      </c>
      <c r="K363" s="260"/>
    </row>
    <row r="364" spans="1:17">
      <c r="A364" s="118"/>
      <c r="B364" s="59"/>
      <c r="C364" s="270"/>
      <c r="D364" s="256"/>
      <c r="E364" s="251"/>
      <c r="F364" s="251"/>
      <c r="G364" s="251"/>
      <c r="H364" s="251"/>
      <c r="I364" s="270"/>
      <c r="K364" s="260"/>
    </row>
    <row r="365" spans="1:17">
      <c r="A365" s="118"/>
      <c r="B365" s="59"/>
      <c r="C365" s="270"/>
      <c r="D365" s="256"/>
      <c r="E365" s="251"/>
      <c r="F365" s="251"/>
      <c r="G365" s="251"/>
      <c r="H365" s="251"/>
      <c r="I365" s="270"/>
      <c r="K365" s="260"/>
      <c r="L365" s="120" t="e">
        <f>SUM(L9:L364)</f>
        <v>#N/A</v>
      </c>
      <c r="M365" s="120" t="e">
        <f>SUM(M9:M364)</f>
        <v>#N/A</v>
      </c>
      <c r="N365" s="120">
        <f>SUM(N9:N364)</f>
        <v>279656427.38797152</v>
      </c>
    </row>
    <row r="366" spans="1:17" s="119" customFormat="1" ht="51.75" customHeight="1">
      <c r="A366" s="1040" t="s">
        <v>1148</v>
      </c>
      <c r="B366" s="1040"/>
      <c r="C366" s="1040"/>
      <c r="D366" s="1040"/>
      <c r="E366" s="1040"/>
      <c r="F366" s="1040"/>
      <c r="G366" s="1040"/>
      <c r="H366" s="1040"/>
      <c r="I366" s="1040"/>
      <c r="J366" s="361"/>
      <c r="K366" s="360"/>
      <c r="L366" s="361">
        <f>+'Distribucion Programas I'!F8+'Deuda Interna'!E11</f>
        <v>455700811.40289497</v>
      </c>
      <c r="M366" s="361">
        <f>+'Distribucion Programas II '!Q10</f>
        <v>473739553.17658097</v>
      </c>
      <c r="N366" s="361" t="e">
        <f>+'Distribucion Programas III UTGV'!C9+'Distrib Programas III Poyectos'!Y10-'Distrib Programas III Poyectos'!#REF!-'Distrib Programas III Poyectos'!#REF!-'Distrib Programas III Poyectos'!#REF!</f>
        <v>#REF!</v>
      </c>
      <c r="O366" s="361"/>
    </row>
    <row r="367" spans="1:17">
      <c r="A367" s="118"/>
      <c r="B367" s="118"/>
      <c r="C367" s="118"/>
      <c r="D367" s="256"/>
      <c r="E367" s="251"/>
      <c r="F367" s="251"/>
      <c r="G367" s="251"/>
      <c r="H367" s="251"/>
      <c r="I367" s="119"/>
      <c r="K367" s="260"/>
      <c r="L367" s="524" t="e">
        <f>+L365-L366</f>
        <v>#N/A</v>
      </c>
      <c r="M367" s="524" t="e">
        <f>+M365-M366</f>
        <v>#N/A</v>
      </c>
      <c r="N367" s="524" t="e">
        <f>+N365-N366</f>
        <v>#REF!</v>
      </c>
    </row>
    <row r="368" spans="1:17">
      <c r="A368" s="118"/>
      <c r="B368" s="118"/>
      <c r="C368" s="118"/>
      <c r="D368" s="256"/>
      <c r="E368" s="251"/>
      <c r="F368" s="251"/>
      <c r="G368" s="251"/>
      <c r="H368" s="251"/>
      <c r="I368" s="119"/>
      <c r="K368" s="260"/>
      <c r="L368" s="120">
        <f>+'Deuda Interna'!E11</f>
        <v>5488975.3760000002</v>
      </c>
    </row>
    <row r="369" spans="1:12" ht="12.75">
      <c r="A369" s="54" t="s">
        <v>336</v>
      </c>
      <c r="B369" s="118"/>
      <c r="C369" s="519"/>
      <c r="D369" s="256"/>
      <c r="E369" s="251"/>
      <c r="F369" s="251"/>
      <c r="G369" s="251"/>
      <c r="H369" s="251"/>
    </row>
    <row r="370" spans="1:12" ht="12.75">
      <c r="A370" s="54" t="s">
        <v>1120</v>
      </c>
      <c r="B370" s="118"/>
      <c r="C370" s="118"/>
      <c r="D370" s="256"/>
      <c r="E370" s="251"/>
      <c r="F370" s="251"/>
      <c r="G370" s="251"/>
      <c r="H370" s="251"/>
      <c r="I370" s="260"/>
    </row>
    <row r="371" spans="1:12">
      <c r="C371" s="120"/>
      <c r="I371" s="260"/>
      <c r="K371" s="120"/>
    </row>
    <row r="372" spans="1:12">
      <c r="C372" s="120"/>
      <c r="I372" s="260"/>
      <c r="J372" s="120">
        <f>+J365-J364</f>
        <v>0</v>
      </c>
    </row>
    <row r="373" spans="1:12">
      <c r="C373" s="120"/>
      <c r="K373" s="260"/>
    </row>
    <row r="374" spans="1:12">
      <c r="C374" s="120"/>
    </row>
    <row r="375" spans="1:12">
      <c r="C375" s="120"/>
    </row>
    <row r="376" spans="1:12">
      <c r="C376" s="120"/>
    </row>
    <row r="377" spans="1:12">
      <c r="C377" s="120"/>
      <c r="L377" s="120">
        <f>+'Ingreso Contraloría'!F95</f>
        <v>0</v>
      </c>
    </row>
    <row r="378" spans="1:12">
      <c r="C378" s="120"/>
      <c r="L378" s="120" t="e">
        <f>+J9+J79+J80+J83+J88+C89-J97+K139+K166+K192+J207+K224+K246+K247+K308+C316-J316</f>
        <v>#REF!</v>
      </c>
    </row>
    <row r="379" spans="1:12">
      <c r="C379" s="120"/>
    </row>
    <row r="380" spans="1:12">
      <c r="C380" s="120"/>
    </row>
    <row r="381" spans="1:12">
      <c r="C381" s="120"/>
    </row>
    <row r="382" spans="1:12">
      <c r="C382" s="120"/>
      <c r="I382" s="260"/>
    </row>
    <row r="383" spans="1:12">
      <c r="I383" s="260"/>
    </row>
    <row r="384" spans="1:12">
      <c r="I384" s="260"/>
    </row>
    <row r="385" spans="9:9">
      <c r="I385" s="260"/>
    </row>
    <row r="386" spans="9:9">
      <c r="I386" s="260"/>
    </row>
    <row r="387" spans="9:9">
      <c r="I387" s="260"/>
    </row>
    <row r="388" spans="9:9">
      <c r="I388" s="260"/>
    </row>
    <row r="389" spans="9:9">
      <c r="I389" s="260"/>
    </row>
    <row r="390" spans="9:9">
      <c r="I390" s="260"/>
    </row>
    <row r="391" spans="9:9">
      <c r="I391" s="260"/>
    </row>
    <row r="392" spans="9:9">
      <c r="I392" s="260"/>
    </row>
    <row r="393" spans="9:9">
      <c r="I393" s="260"/>
    </row>
    <row r="394" spans="9:9">
      <c r="I394" s="260"/>
    </row>
    <row r="395" spans="9:9">
      <c r="I395" s="260"/>
    </row>
    <row r="396" spans="9:9">
      <c r="I396" s="260"/>
    </row>
    <row r="397" spans="9:9">
      <c r="I397" s="260"/>
    </row>
    <row r="398" spans="9:9">
      <c r="I398" s="260"/>
    </row>
    <row r="399" spans="9:9">
      <c r="I399" s="260"/>
    </row>
    <row r="400" spans="9:9">
      <c r="I400" s="260"/>
    </row>
    <row r="401" spans="9:9">
      <c r="I401" s="260"/>
    </row>
    <row r="402" spans="9:9">
      <c r="I402" s="260"/>
    </row>
    <row r="403" spans="9:9">
      <c r="I403" s="260"/>
    </row>
    <row r="404" spans="9:9">
      <c r="I404" s="260"/>
    </row>
    <row r="405" spans="9:9">
      <c r="I405" s="260"/>
    </row>
    <row r="406" spans="9:9">
      <c r="I406" s="260"/>
    </row>
    <row r="407" spans="9:9">
      <c r="I407" s="260"/>
    </row>
    <row r="408" spans="9:9">
      <c r="I408" s="260"/>
    </row>
    <row r="409" spans="9:9">
      <c r="I409" s="260"/>
    </row>
    <row r="410" spans="9:9">
      <c r="I410" s="260"/>
    </row>
    <row r="411" spans="9:9">
      <c r="I411" s="260"/>
    </row>
    <row r="412" spans="9:9">
      <c r="I412" s="260"/>
    </row>
    <row r="413" spans="9:9">
      <c r="I413" s="260"/>
    </row>
    <row r="414" spans="9:9">
      <c r="I414" s="260"/>
    </row>
    <row r="415" spans="9:9">
      <c r="I415" s="260"/>
    </row>
    <row r="416" spans="9:9">
      <c r="I416" s="260"/>
    </row>
    <row r="417" spans="9:13">
      <c r="I417" s="260"/>
    </row>
    <row r="418" spans="9:13">
      <c r="I418" s="260"/>
    </row>
    <row r="419" spans="9:13">
      <c r="I419" s="260"/>
    </row>
    <row r="420" spans="9:13">
      <c r="I420" s="260"/>
    </row>
    <row r="421" spans="9:13">
      <c r="I421" s="260"/>
      <c r="K421" s="260"/>
    </row>
    <row r="422" spans="9:13">
      <c r="I422" s="260"/>
    </row>
    <row r="423" spans="9:13">
      <c r="K423" s="260"/>
    </row>
    <row r="425" spans="9:13">
      <c r="I425" s="119"/>
    </row>
    <row r="426" spans="9:13" ht="23.25" customHeight="1">
      <c r="I426" s="362" t="s">
        <v>397</v>
      </c>
      <c r="J426" s="358" t="e">
        <f>+J9+J11+J79+J80+J83+J88+J89+J90+J92+J93+J94+#REF!+J97+J98+J139+J140+J150+J151+J166+J167+J192+J194+J195+J207+J208+J224+J227+J228+J229+J237+J238+J239+J240+J241+J242+J243+J244+J246+J247+J248+J312+J315+J316+J317</f>
        <v>#REF!</v>
      </c>
      <c r="K426" s="359">
        <f>+'Distribucion Programas I'!F8</f>
        <v>450211836.02689499</v>
      </c>
      <c r="L426" s="361" t="e">
        <f>+J426-K426</f>
        <v>#REF!</v>
      </c>
      <c r="M426" s="361"/>
    </row>
    <row r="427" spans="9:13" ht="20.25" customHeight="1">
      <c r="I427" s="378" t="s">
        <v>398</v>
      </c>
      <c r="J427" s="379" t="e">
        <f>+J28+J30+J32+J33+J34+J35+J36+J37+J42+J43+J44+J54+J55+#REF!+J58+J59+J61+J62+J63+J64+J65+J66+J67+J68+#REF!+J69+#REF!+J71+J81+J84+J85+J86+J87+J99+J102+J104+J105+J106+J107+J109+J110+J111+J112+J113+J114+J115+J116+J117+J118+J119+J120+J121+J122+J123+J124+J125+J126+J127+J128+J129+J130+J131+J132+J133+J134+J135+J136+J137+J153+J155+J156+J157+J158+J159+J160+J161+J162+J163+J169+J170+J172+J174+J175+J176+J177+J178+J179+J181+J182+J183+J185+J186+J188+J189+J190+J196+J198+J199+J200+J201+J202+J203+J204+J205+J206+J209+J362</f>
        <v>#REF!</v>
      </c>
      <c r="K427" s="380">
        <f>+'Distribucion Programas II '!Q10</f>
        <v>473739553.17658097</v>
      </c>
      <c r="L427" s="361" t="e">
        <f>+J427-K427</f>
        <v>#REF!</v>
      </c>
      <c r="M427" s="361"/>
    </row>
    <row r="428" spans="9:13" ht="18" customHeight="1">
      <c r="I428" s="363" t="s">
        <v>399</v>
      </c>
      <c r="J428" s="364"/>
      <c r="K428" s="365">
        <f>+'Distribucion Programas III UTGV'!C9+'Distrib Programas III Poyectos'!Y10</f>
        <v>2077134902.1368132</v>
      </c>
      <c r="L428" s="361">
        <f>+J428-K428</f>
        <v>-2077134902.1368132</v>
      </c>
      <c r="M428" s="361"/>
    </row>
    <row r="429" spans="9:13">
      <c r="I429" s="59"/>
      <c r="J429" s="60"/>
    </row>
    <row r="430" spans="9:13" ht="20.25" customHeight="1">
      <c r="I430" s="116" t="s">
        <v>24</v>
      </c>
      <c r="J430" s="120" t="e">
        <f>SUM(J426:J429)</f>
        <v>#REF!</v>
      </c>
      <c r="K430" s="120">
        <f>SUM(K426:K429)</f>
        <v>3001086291.3402891</v>
      </c>
      <c r="L430" s="120" t="e">
        <f>+J430-K430</f>
        <v>#REF!</v>
      </c>
    </row>
    <row r="431" spans="9:13">
      <c r="K431" s="260"/>
    </row>
    <row r="432" spans="9:13">
      <c r="K432" s="260"/>
    </row>
    <row r="434" spans="2:11">
      <c r="K434" s="260"/>
    </row>
    <row r="435" spans="2:11">
      <c r="I435" s="120"/>
      <c r="K435" s="260"/>
    </row>
    <row r="436" spans="2:11">
      <c r="I436" s="120"/>
    </row>
    <row r="437" spans="2:11">
      <c r="I437" s="120"/>
    </row>
    <row r="438" spans="2:11">
      <c r="I438" s="120"/>
    </row>
    <row r="439" spans="2:11">
      <c r="I439" s="120"/>
    </row>
    <row r="440" spans="2:11">
      <c r="I440" s="120"/>
    </row>
    <row r="441" spans="2:11">
      <c r="I441" s="120"/>
    </row>
    <row r="442" spans="2:11">
      <c r="I442" s="120"/>
    </row>
    <row r="443" spans="2:11">
      <c r="I443" s="120"/>
    </row>
    <row r="444" spans="2:11">
      <c r="I444" s="120"/>
    </row>
    <row r="445" spans="2:11">
      <c r="B445" s="120"/>
      <c r="I445" s="120"/>
    </row>
    <row r="446" spans="2:11">
      <c r="I446" s="120"/>
    </row>
    <row r="447" spans="2:11">
      <c r="I447" s="120"/>
    </row>
    <row r="448" spans="2:11">
      <c r="I448" s="120"/>
    </row>
    <row r="449" spans="2:11">
      <c r="B449" s="260"/>
      <c r="I449" s="120"/>
    </row>
    <row r="450" spans="2:11">
      <c r="I450" s="120"/>
    </row>
    <row r="451" spans="2:11">
      <c r="I451" s="120"/>
    </row>
    <row r="452" spans="2:11">
      <c r="B452" s="260"/>
      <c r="I452" s="120"/>
    </row>
    <row r="453" spans="2:11">
      <c r="I453" s="120"/>
      <c r="K453" s="260"/>
    </row>
    <row r="454" spans="2:11">
      <c r="I454" s="120"/>
    </row>
  </sheetData>
  <mergeCells count="15">
    <mergeCell ref="A366:I366"/>
    <mergeCell ref="G7:G8"/>
    <mergeCell ref="F7:F8"/>
    <mergeCell ref="A3:J3"/>
    <mergeCell ref="A4:J4"/>
    <mergeCell ref="A5:J5"/>
    <mergeCell ref="I7:I8"/>
    <mergeCell ref="J7:J8"/>
    <mergeCell ref="H7:H8"/>
    <mergeCell ref="A7:A8"/>
    <mergeCell ref="A2:J2"/>
    <mergeCell ref="B7:B8"/>
    <mergeCell ref="C7:C8"/>
    <mergeCell ref="D7:D8"/>
    <mergeCell ref="E7:E8"/>
  </mergeCells>
  <phoneticPr fontId="3" type="noConversion"/>
  <hyperlinks>
    <hyperlink ref="A81" location="_1.1.3.2.01.04.0.0.000___Impuestos e" display="_1.1.3.2.01.04.0.0.000___Impuestos e" xr:uid="{00000000-0004-0000-0E00-000000000000}"/>
    <hyperlink ref="A84" location="_1.1.3.2.02.03.0.0.000__" display="_1.1.3.2.02.03.0.0.000__" xr:uid="{00000000-0004-0000-0E00-000001000000}"/>
    <hyperlink ref="A89" location="_1.1.3.3.01.00.0.0.000__Licencias_  " display="_1.1.3.3.01.00.0.0.000__Licencias_  " xr:uid="{00000000-0004-0000-0E00-000002000000}"/>
    <hyperlink ref="A98" location="_1.1.9.1.00.00.0.0.000___IMPUESTO DE" display="_1.1.9.1.00.00.0.0.000___IMPUESTO DE" xr:uid="{00000000-0004-0000-0E00-000003000000}"/>
    <hyperlink ref="A153" location="_1.3.1.2.04.01.0.0.000___Alquiler de" display="_1.3.1.2.04.01.0.0.000___Alquiler de" xr:uid="{00000000-0004-0000-0E00-000004000000}"/>
    <hyperlink ref="A170" location="_1.3.1.2.05.04.0.0.000___Servicios d" display="_1.3.1.2.05.04.0.0.000___Servicios d" xr:uid="{00000000-0004-0000-0E00-000005000000}"/>
    <hyperlink ref="A196" location="_1.3.1.3.01.01.0.0.000__" display="_1.3.1.3.01.01.0.0.000__" xr:uid="{00000000-0004-0000-0E00-000006000000}"/>
    <hyperlink ref="A209" location="_1.3.1.3.02.09.0.0.000__" display="_1.3.1.3.02.09.0.0.000__" xr:uid="{00000000-0004-0000-0E00-000007000000}"/>
    <hyperlink ref="A247" location="_1.3.4.1.00.00.0.0.000___Intereses m" display="_1.3.4.1.00.00.0.0.000___Intereses m" xr:uid="{00000000-0004-0000-0E00-000008000000}"/>
    <hyperlink ref="B81" location="_1.1.3.2.01.04.0.0.000___Impuestos e" display="_1.1.3.2.01.04.0.0.000___Impuestos e" xr:uid="{00000000-0004-0000-0E00-000009000000}"/>
    <hyperlink ref="B84" location="_1.1.3.2.02.03.0.0.000__" display="_1.1.3.2.02.03.0.0.000__" xr:uid="{00000000-0004-0000-0E00-00000A000000}"/>
    <hyperlink ref="B89" location="_1.1.3.3.01.00.0.0.000__Licencias_  " display="_1.1.3.3.01.00.0.0.000__Licencias_  " xr:uid="{00000000-0004-0000-0E00-00000B000000}"/>
    <hyperlink ref="B98" location="_1.1.9.1.00.00.0.0.000___IMPUESTO DE" display="_1.1.9.1.00.00.0.0.000___IMPUESTO DE" xr:uid="{00000000-0004-0000-0E00-00000C000000}"/>
    <hyperlink ref="B153" location="_1.3.1.2.04.01.0.0.000___Alquiler de" display="_1.3.1.2.04.01.0.0.000___Alquiler de" xr:uid="{00000000-0004-0000-0E00-00000D000000}"/>
    <hyperlink ref="B170" location="_1.3.1.2.05.04.0.0.000___Servicios d" display="_1.3.1.2.05.04.0.0.000___Servicios d" xr:uid="{00000000-0004-0000-0E00-00000E000000}"/>
    <hyperlink ref="A169" location="_1.3.1.2.05.04.0.0.000___Servicios d" display="_1.3.1.2.05.04.0.0.000___Servicios d" xr:uid="{00000000-0004-0000-0E00-00000F000000}"/>
    <hyperlink ref="B169" location="_1.3.1.2.05.04.0.0.000___Servicios d" display="_1.3.1.2.05.04.0.0.000___Servicios d" xr:uid="{00000000-0004-0000-0E00-000010000000}"/>
    <hyperlink ref="B196" location="_1.3.1.3.01.01.0.0.000__" display="_1.3.1.3.01.01.0.0.000__" xr:uid="{00000000-0004-0000-0E00-000011000000}"/>
    <hyperlink ref="B209" location="_1.3.1.3.02.09.0.0.000__" display="_1.3.1.3.02.09.0.0.000__" xr:uid="{00000000-0004-0000-0E00-000012000000}"/>
    <hyperlink ref="B247" location="_1.3.4.1.00.00.0.0.000___Intereses m" display="_1.3.4.1.00.00.0.0.000___Intereses m" xr:uid="{00000000-0004-0000-0E00-000013000000}"/>
    <hyperlink ref="A83" location="_1.1.3.2.01.04.0.0.000___Impuestos e" display="_1.1.3.2.01.04.0.0.000___Impuestos e" xr:uid="{00000000-0004-0000-0E00-000014000000}"/>
  </hyperlinks>
  <pageMargins left="0.19685039370078741" right="0.19685039370078741" top="0.19685039370078741" bottom="0.19685039370078741" header="0" footer="0"/>
  <pageSetup scale="75" orientation="portrait" horizontalDpi="4294967294" verticalDpi="144" r:id="rId1"/>
  <headerFooter alignWithMargins="0">
    <oddFooter>&amp;L&amp;8&amp;Z&amp;F</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T70"/>
  <sheetViews>
    <sheetView workbookViewId="0">
      <selection activeCell="T13" sqref="T13"/>
    </sheetView>
  </sheetViews>
  <sheetFormatPr baseColWidth="10" defaultRowHeight="12.75"/>
  <cols>
    <col min="1" max="1" width="19.85546875" style="672" bestFit="1" customWidth="1"/>
    <col min="2" max="2" width="11" style="672" customWidth="1"/>
    <col min="3" max="3" width="10.85546875" style="672" customWidth="1"/>
    <col min="4" max="4" width="5.140625" style="672" customWidth="1"/>
    <col min="5" max="8" width="5.5703125" style="672" customWidth="1"/>
    <col min="9" max="9" width="4.5703125" style="672" customWidth="1"/>
    <col min="10" max="10" width="11" style="672" customWidth="1"/>
    <col min="11" max="11" width="10.42578125" style="672" customWidth="1"/>
    <col min="12" max="12" width="9.28515625" style="672" customWidth="1"/>
    <col min="13" max="13" width="5.28515625" style="672" customWidth="1"/>
    <col min="14" max="14" width="4.42578125" style="672" customWidth="1"/>
    <col min="15" max="15" width="4" style="672" customWidth="1"/>
    <col min="16" max="16" width="4.140625" style="672" customWidth="1"/>
    <col min="17" max="17" width="3.42578125" style="672" customWidth="1"/>
    <col min="18" max="16384" width="11.42578125" style="672"/>
  </cols>
  <sheetData>
    <row r="1" spans="1:17">
      <c r="P1" s="674">
        <v>9</v>
      </c>
    </row>
    <row r="3" spans="1:17" ht="20.25">
      <c r="A3" s="960" t="s">
        <v>1191</v>
      </c>
      <c r="B3" s="959"/>
      <c r="C3" s="959"/>
      <c r="D3" s="959"/>
      <c r="E3" s="959"/>
      <c r="F3" s="959"/>
      <c r="G3" s="959"/>
      <c r="H3" s="959"/>
      <c r="I3" s="959"/>
      <c r="J3" s="959"/>
      <c r="K3" s="959"/>
      <c r="L3" s="959"/>
      <c r="M3" s="959"/>
      <c r="N3" s="959"/>
      <c r="O3" s="959"/>
      <c r="P3" s="959"/>
      <c r="Q3" s="959"/>
    </row>
    <row r="4" spans="1:17" ht="21" thickBot="1">
      <c r="A4" s="960"/>
      <c r="B4" s="959"/>
      <c r="C4" s="959"/>
      <c r="D4" s="959"/>
      <c r="E4" s="959"/>
      <c r="F4" s="959"/>
      <c r="G4" s="959"/>
      <c r="H4" s="959"/>
      <c r="I4" s="959"/>
      <c r="J4" s="959"/>
      <c r="K4" s="959"/>
      <c r="L4" s="959"/>
      <c r="M4" s="959"/>
      <c r="N4" s="959"/>
      <c r="O4" s="959"/>
      <c r="P4" s="959"/>
      <c r="Q4" s="959"/>
    </row>
    <row r="5" spans="1:17" ht="13.5" thickBot="1">
      <c r="A5" s="1045" t="s">
        <v>1252</v>
      </c>
      <c r="B5" s="1045"/>
      <c r="C5" s="1064" t="s">
        <v>199</v>
      </c>
      <c r="D5" s="1065"/>
      <c r="E5" s="1065"/>
      <c r="F5" s="1065"/>
      <c r="G5" s="1065"/>
      <c r="H5" s="1065"/>
      <c r="I5" s="1065"/>
      <c r="J5" s="1066"/>
      <c r="K5" s="959"/>
      <c r="L5" s="959"/>
      <c r="M5" s="959"/>
      <c r="N5" s="959"/>
      <c r="O5" s="959"/>
      <c r="P5" s="959"/>
      <c r="Q5" s="959"/>
    </row>
    <row r="6" spans="1:17" ht="13.5" thickBot="1">
      <c r="A6" s="959"/>
      <c r="B6" s="959"/>
      <c r="C6" s="959"/>
      <c r="D6" s="959"/>
      <c r="E6" s="959"/>
      <c r="F6" s="959"/>
      <c r="G6" s="959"/>
      <c r="H6" s="959"/>
      <c r="I6" s="959"/>
      <c r="J6" s="959"/>
      <c r="K6" s="959"/>
      <c r="L6" s="959"/>
      <c r="M6" s="959"/>
      <c r="N6" s="959"/>
      <c r="O6" s="959"/>
      <c r="P6" s="959"/>
      <c r="Q6" s="959"/>
    </row>
    <row r="7" spans="1:17" ht="13.5" customHeight="1" thickBot="1">
      <c r="A7" s="1045" t="s">
        <v>1192</v>
      </c>
      <c r="B7" s="1045"/>
      <c r="C7" s="962">
        <v>2021</v>
      </c>
      <c r="D7" s="963"/>
      <c r="E7" s="959"/>
      <c r="F7" s="959"/>
      <c r="G7" s="959"/>
      <c r="H7" s="959"/>
      <c r="I7" s="959"/>
      <c r="J7" s="959"/>
      <c r="K7" s="959"/>
      <c r="L7" s="959"/>
      <c r="M7" s="959"/>
      <c r="N7" s="959"/>
      <c r="O7" s="959"/>
      <c r="P7" s="959"/>
      <c r="Q7" s="959"/>
    </row>
    <row r="8" spans="1:17">
      <c r="A8"/>
      <c r="B8"/>
      <c r="C8"/>
      <c r="D8"/>
      <c r="E8"/>
      <c r="F8"/>
      <c r="G8"/>
      <c r="H8"/>
      <c r="I8"/>
      <c r="J8"/>
      <c r="K8"/>
      <c r="L8"/>
      <c r="M8"/>
      <c r="N8"/>
      <c r="O8"/>
      <c r="P8"/>
      <c r="Q8"/>
    </row>
    <row r="9" spans="1:17" ht="13.5" thickBot="1">
      <c r="A9" s="959"/>
      <c r="B9" s="1067" t="s">
        <v>1193</v>
      </c>
      <c r="C9" s="1067"/>
      <c r="D9" s="964"/>
      <c r="E9" s="1061" t="s">
        <v>1194</v>
      </c>
      <c r="F9" s="1062"/>
      <c r="G9" s="1062"/>
      <c r="H9" s="1063"/>
      <c r="I9" s="959"/>
      <c r="J9" s="1067" t="s">
        <v>1195</v>
      </c>
      <c r="K9" s="1067"/>
      <c r="L9" s="964"/>
      <c r="M9" s="964"/>
      <c r="N9" s="1061" t="s">
        <v>1194</v>
      </c>
      <c r="O9" s="1062"/>
      <c r="P9" s="1062"/>
      <c r="Q9" s="1063"/>
    </row>
    <row r="10" spans="1:17" ht="26.25" customHeight="1" thickBot="1">
      <c r="A10" s="1053" t="s">
        <v>1196</v>
      </c>
      <c r="B10" s="1055" t="s">
        <v>95</v>
      </c>
      <c r="C10" s="1057" t="s">
        <v>1197</v>
      </c>
      <c r="D10" s="1059" t="s">
        <v>1198</v>
      </c>
      <c r="E10" s="1057" t="s">
        <v>433</v>
      </c>
      <c r="F10" s="1057" t="s">
        <v>48</v>
      </c>
      <c r="G10" s="1057" t="s">
        <v>49</v>
      </c>
      <c r="H10" s="1057" t="s">
        <v>1199</v>
      </c>
      <c r="I10" s="965"/>
      <c r="J10" s="1057" t="s">
        <v>95</v>
      </c>
      <c r="K10" s="1068" t="s">
        <v>1197</v>
      </c>
      <c r="L10" s="1068"/>
      <c r="M10" s="1059" t="s">
        <v>1198</v>
      </c>
      <c r="N10" s="1057" t="s">
        <v>433</v>
      </c>
      <c r="O10" s="1057" t="s">
        <v>48</v>
      </c>
      <c r="P10" s="1057" t="s">
        <v>49</v>
      </c>
      <c r="Q10" s="1057" t="s">
        <v>1199</v>
      </c>
    </row>
    <row r="11" spans="1:17" ht="23.25" thickBot="1">
      <c r="A11" s="1054"/>
      <c r="B11" s="1056"/>
      <c r="C11" s="1058"/>
      <c r="D11" s="1060"/>
      <c r="E11" s="1058"/>
      <c r="F11" s="1058"/>
      <c r="G11" s="1058"/>
      <c r="H11" s="1058"/>
      <c r="I11" s="965"/>
      <c r="J11" s="1058"/>
      <c r="K11" s="966" t="s">
        <v>1200</v>
      </c>
      <c r="L11" s="967" t="s">
        <v>1201</v>
      </c>
      <c r="M11" s="1060"/>
      <c r="N11" s="1058"/>
      <c r="O11" s="1058"/>
      <c r="P11" s="1058"/>
      <c r="Q11" s="1058"/>
    </row>
    <row r="12" spans="1:17">
      <c r="A12"/>
      <c r="B12"/>
      <c r="C12"/>
      <c r="D12"/>
      <c r="E12"/>
      <c r="F12"/>
      <c r="G12"/>
      <c r="H12"/>
      <c r="I12"/>
      <c r="J12"/>
      <c r="K12"/>
      <c r="L12"/>
      <c r="M12"/>
      <c r="N12"/>
      <c r="O12"/>
      <c r="P12"/>
      <c r="Q12"/>
    </row>
    <row r="13" spans="1:17">
      <c r="A13" s="968" t="s">
        <v>1202</v>
      </c>
      <c r="B13" s="969">
        <v>2</v>
      </c>
      <c r="C13" s="969"/>
      <c r="D13" s="970">
        <v>0</v>
      </c>
      <c r="E13" s="969">
        <v>2</v>
      </c>
      <c r="F13" s="969"/>
      <c r="G13" s="969"/>
      <c r="H13" s="969"/>
      <c r="I13" s="971"/>
      <c r="J13" s="969"/>
      <c r="K13" s="969"/>
      <c r="L13" s="969"/>
      <c r="M13" s="970">
        <v>0</v>
      </c>
      <c r="N13" s="969"/>
      <c r="O13" s="969"/>
      <c r="P13" s="969"/>
      <c r="Q13" s="969"/>
    </row>
    <row r="14" spans="1:17">
      <c r="A14" s="968"/>
      <c r="B14" s="971"/>
      <c r="C14" s="971"/>
      <c r="D14" s="972"/>
      <c r="E14" s="971"/>
      <c r="F14" s="971"/>
      <c r="G14" s="971"/>
      <c r="H14" s="971"/>
      <c r="I14" s="971"/>
      <c r="J14" s="971"/>
      <c r="K14" s="971"/>
      <c r="L14" s="971"/>
      <c r="M14" s="972"/>
      <c r="N14" s="971"/>
      <c r="O14" s="971"/>
      <c r="P14" s="971"/>
      <c r="Q14" s="971"/>
    </row>
    <row r="15" spans="1:17">
      <c r="A15" s="968" t="s">
        <v>1203</v>
      </c>
      <c r="B15" s="969">
        <v>16</v>
      </c>
      <c r="C15" s="969">
        <v>0</v>
      </c>
      <c r="D15" s="970">
        <v>0</v>
      </c>
      <c r="E15" s="969">
        <v>8</v>
      </c>
      <c r="F15" s="969">
        <v>4</v>
      </c>
      <c r="G15" s="969">
        <v>4</v>
      </c>
      <c r="H15" s="969"/>
      <c r="I15" s="971"/>
      <c r="J15" s="969"/>
      <c r="K15" s="969"/>
      <c r="L15" s="969">
        <v>3</v>
      </c>
      <c r="M15" s="970">
        <v>0</v>
      </c>
      <c r="N15" s="969">
        <v>1</v>
      </c>
      <c r="O15" s="969">
        <v>2</v>
      </c>
      <c r="P15" s="969"/>
      <c r="Q15" s="969"/>
    </row>
    <row r="16" spans="1:17">
      <c r="A16" s="968"/>
      <c r="B16" s="971"/>
      <c r="C16" s="971"/>
      <c r="D16" s="972"/>
      <c r="E16" s="971"/>
      <c r="F16" s="971"/>
      <c r="G16" s="971"/>
      <c r="H16" s="971"/>
      <c r="I16" s="971"/>
      <c r="J16" s="971"/>
      <c r="K16" s="971"/>
      <c r="L16" s="971"/>
      <c r="M16" s="972"/>
      <c r="N16" s="971"/>
      <c r="O16" s="971"/>
      <c r="P16" s="971"/>
      <c r="Q16" s="971"/>
    </row>
    <row r="17" spans="1:20">
      <c r="A17" s="968" t="s">
        <v>1204</v>
      </c>
      <c r="B17" s="969">
        <v>8</v>
      </c>
      <c r="C17" s="969"/>
      <c r="D17" s="970">
        <v>0</v>
      </c>
      <c r="E17" s="969">
        <v>2</v>
      </c>
      <c r="F17" s="969">
        <v>2</v>
      </c>
      <c r="G17" s="969">
        <v>4</v>
      </c>
      <c r="H17" s="969"/>
      <c r="I17" s="971"/>
      <c r="J17" s="969"/>
      <c r="K17" s="969"/>
      <c r="L17" s="969">
        <v>1</v>
      </c>
      <c r="M17" s="970">
        <v>0</v>
      </c>
      <c r="N17" s="969"/>
      <c r="O17" s="969"/>
      <c r="P17" s="969">
        <v>1</v>
      </c>
      <c r="Q17" s="969"/>
    </row>
    <row r="18" spans="1:20">
      <c r="A18" s="968"/>
      <c r="B18" s="971"/>
      <c r="C18" s="971"/>
      <c r="D18" s="972"/>
      <c r="E18" s="971"/>
      <c r="F18" s="971"/>
      <c r="G18" s="971"/>
      <c r="H18" s="971"/>
      <c r="I18" s="971"/>
      <c r="J18" s="971"/>
      <c r="K18" s="971"/>
      <c r="L18" s="971"/>
      <c r="M18" s="972"/>
      <c r="N18" s="971"/>
      <c r="O18" s="971"/>
      <c r="P18" s="971"/>
      <c r="Q18" s="971"/>
      <c r="T18" s="852"/>
    </row>
    <row r="19" spans="1:20">
      <c r="A19" s="968" t="s">
        <v>1205</v>
      </c>
      <c r="B19" s="969">
        <v>8</v>
      </c>
      <c r="C19" s="969">
        <v>0</v>
      </c>
      <c r="D19" s="970">
        <v>0</v>
      </c>
      <c r="E19" s="969">
        <v>5</v>
      </c>
      <c r="F19" s="969">
        <v>3</v>
      </c>
      <c r="G19" s="973">
        <v>0</v>
      </c>
      <c r="H19" s="969"/>
      <c r="I19" s="971"/>
      <c r="J19" s="969"/>
      <c r="K19" s="969"/>
      <c r="L19" s="969">
        <v>5</v>
      </c>
      <c r="M19" s="970">
        <v>0</v>
      </c>
      <c r="N19" s="969">
        <v>1</v>
      </c>
      <c r="O19" s="969">
        <v>4</v>
      </c>
      <c r="P19" s="969"/>
      <c r="Q19" s="969"/>
    </row>
    <row r="20" spans="1:20">
      <c r="A20" s="968"/>
      <c r="B20" s="971"/>
      <c r="C20" s="971"/>
      <c r="D20" s="972"/>
      <c r="E20" s="971"/>
      <c r="F20" s="971"/>
      <c r="G20" s="971"/>
      <c r="H20" s="971"/>
      <c r="I20" s="971"/>
      <c r="J20" s="971"/>
      <c r="K20" s="971"/>
      <c r="L20" s="971"/>
      <c r="M20" s="972"/>
      <c r="N20" s="971"/>
      <c r="O20" s="971"/>
      <c r="P20" s="971"/>
      <c r="Q20" s="971"/>
    </row>
    <row r="21" spans="1:20">
      <c r="A21" s="968" t="s">
        <v>1206</v>
      </c>
      <c r="B21" s="969">
        <v>24</v>
      </c>
      <c r="C21" s="969">
        <v>0</v>
      </c>
      <c r="D21" s="970">
        <v>0</v>
      </c>
      <c r="E21" s="969">
        <v>0</v>
      </c>
      <c r="F21" s="969">
        <v>10</v>
      </c>
      <c r="G21" s="969">
        <v>14</v>
      </c>
      <c r="H21" s="969"/>
      <c r="I21" s="971"/>
      <c r="J21" s="969"/>
      <c r="K21" s="969"/>
      <c r="L21" s="969">
        <v>23</v>
      </c>
      <c r="M21" s="970">
        <v>0</v>
      </c>
      <c r="N21" s="969"/>
      <c r="O21" s="969">
        <v>7</v>
      </c>
      <c r="P21" s="969">
        <v>16</v>
      </c>
      <c r="Q21" s="969"/>
    </row>
    <row r="22" spans="1:20" ht="13.5" thickBot="1">
      <c r="A22" s="974"/>
      <c r="B22" s="959"/>
      <c r="C22" s="959"/>
      <c r="D22" s="959"/>
      <c r="E22" s="959"/>
      <c r="F22" s="959"/>
      <c r="G22" s="959"/>
      <c r="H22" s="959"/>
      <c r="I22" s="959"/>
      <c r="J22" s="959"/>
      <c r="K22" s="959"/>
      <c r="L22" s="959"/>
      <c r="M22" s="959"/>
      <c r="N22" s="959"/>
      <c r="O22" s="959"/>
      <c r="P22" s="959"/>
      <c r="Q22" s="959"/>
    </row>
    <row r="23" spans="1:20" ht="15.75" thickBot="1">
      <c r="A23" s="975" t="s">
        <v>353</v>
      </c>
      <c r="B23" s="976">
        <v>58</v>
      </c>
      <c r="C23" s="977">
        <v>0</v>
      </c>
      <c r="D23" s="978">
        <v>0</v>
      </c>
      <c r="E23" s="976">
        <v>17</v>
      </c>
      <c r="F23" s="977">
        <v>19</v>
      </c>
      <c r="G23" s="977">
        <v>22</v>
      </c>
      <c r="H23" s="977">
        <v>0</v>
      </c>
      <c r="I23" s="979"/>
      <c r="J23" s="976">
        <v>0</v>
      </c>
      <c r="K23" s="977">
        <v>0</v>
      </c>
      <c r="L23" s="977">
        <v>32</v>
      </c>
      <c r="M23" s="980">
        <v>0</v>
      </c>
      <c r="N23" s="976">
        <v>2</v>
      </c>
      <c r="O23" s="977">
        <v>13</v>
      </c>
      <c r="P23" s="977">
        <v>17</v>
      </c>
      <c r="Q23" s="977">
        <v>0</v>
      </c>
      <c r="S23" s="839"/>
    </row>
    <row r="24" spans="1:20">
      <c r="A24"/>
      <c r="B24"/>
      <c r="C24"/>
      <c r="D24"/>
      <c r="E24"/>
      <c r="F24"/>
      <c r="G24"/>
      <c r="H24"/>
      <c r="I24"/>
      <c r="J24"/>
      <c r="K24"/>
      <c r="L24"/>
      <c r="M24"/>
      <c r="N24"/>
      <c r="O24"/>
      <c r="P24"/>
      <c r="Q24"/>
    </row>
    <row r="25" spans="1:20" ht="13.5" thickBot="1">
      <c r="A25" s="959"/>
      <c r="B25" s="959"/>
      <c r="C25" s="959"/>
      <c r="D25" s="959"/>
      <c r="E25" s="959"/>
      <c r="F25" s="959"/>
      <c r="G25" s="959"/>
      <c r="H25" s="959"/>
      <c r="I25" s="959"/>
      <c r="J25" s="959"/>
      <c r="K25" s="959"/>
      <c r="L25" s="959"/>
      <c r="M25" s="959"/>
      <c r="N25" s="959"/>
      <c r="O25" s="959"/>
      <c r="P25" s="959"/>
      <c r="Q25" s="959"/>
    </row>
    <row r="26" spans="1:20" ht="13.5" thickBot="1">
      <c r="A26" s="981" t="s">
        <v>1207</v>
      </c>
      <c r="B26" s="982"/>
      <c r="C26" s="983"/>
      <c r="D26" s="984"/>
      <c r="E26" s="959"/>
      <c r="F26" s="981" t="s">
        <v>1208</v>
      </c>
      <c r="G26" s="982"/>
      <c r="H26" s="985"/>
      <c r="I26" s="985"/>
      <c r="J26" s="985"/>
      <c r="K26" s="985"/>
      <c r="L26" s="985"/>
      <c r="M26" s="985"/>
      <c r="N26" s="983"/>
      <c r="O26" s="959"/>
      <c r="P26" s="959"/>
      <c r="Q26" s="959"/>
    </row>
    <row r="27" spans="1:20">
      <c r="A27" s="961" t="s">
        <v>1209</v>
      </c>
      <c r="B27" s="959"/>
      <c r="C27" s="961">
        <v>58</v>
      </c>
      <c r="D27" s="959"/>
      <c r="E27" s="959"/>
      <c r="F27" s="961" t="s">
        <v>1210</v>
      </c>
      <c r="G27" s="959"/>
      <c r="H27" s="959"/>
      <c r="I27" s="959"/>
      <c r="J27" s="959"/>
      <c r="K27" s="959"/>
      <c r="L27" s="959"/>
      <c r="M27" s="959"/>
      <c r="N27" s="961">
        <v>19</v>
      </c>
      <c r="O27" s="959"/>
      <c r="P27" s="959"/>
      <c r="Q27" s="959"/>
    </row>
    <row r="28" spans="1:20">
      <c r="A28" s="961" t="s">
        <v>1211</v>
      </c>
      <c r="B28" s="959"/>
      <c r="C28" s="961">
        <v>32</v>
      </c>
      <c r="D28" s="959"/>
      <c r="E28" s="959"/>
      <c r="F28" s="961" t="s">
        <v>1212</v>
      </c>
      <c r="G28" s="959"/>
      <c r="H28" s="959"/>
      <c r="I28" s="959"/>
      <c r="J28" s="959"/>
      <c r="K28" s="959"/>
      <c r="L28" s="959"/>
      <c r="M28" s="959"/>
      <c r="N28" s="961">
        <v>32</v>
      </c>
      <c r="O28" s="959"/>
      <c r="P28" s="959"/>
      <c r="Q28" s="959"/>
    </row>
    <row r="29" spans="1:20">
      <c r="A29" s="961" t="s">
        <v>1213</v>
      </c>
      <c r="B29" s="959"/>
      <c r="C29" s="961">
        <v>58</v>
      </c>
      <c r="D29" s="959"/>
      <c r="E29" s="959"/>
      <c r="F29" s="961" t="s">
        <v>1214</v>
      </c>
      <c r="G29" s="959"/>
      <c r="H29" s="959"/>
      <c r="I29" s="959"/>
      <c r="J29" s="959"/>
      <c r="K29" s="959"/>
      <c r="L29" s="959"/>
      <c r="M29" s="959"/>
      <c r="N29" s="961">
        <v>39</v>
      </c>
      <c r="O29" s="959"/>
      <c r="P29" s="959"/>
      <c r="Q29" s="959"/>
    </row>
    <row r="30" spans="1:20" ht="13.5" thickBot="1">
      <c r="A30" s="961" t="s">
        <v>1215</v>
      </c>
      <c r="B30" s="959"/>
      <c r="C30" s="961">
        <v>32</v>
      </c>
      <c r="D30" s="959"/>
      <c r="E30" s="959"/>
      <c r="F30" s="961" t="s">
        <v>1216</v>
      </c>
      <c r="G30" s="959"/>
      <c r="H30" s="959"/>
      <c r="I30" s="959"/>
      <c r="J30" s="959"/>
      <c r="K30" s="959"/>
      <c r="L30" s="959"/>
      <c r="M30" s="959"/>
      <c r="N30" s="961">
        <v>0</v>
      </c>
      <c r="O30" s="959"/>
      <c r="P30" s="959"/>
      <c r="Q30" s="959"/>
    </row>
    <row r="31" spans="1:20" ht="13.5" thickBot="1">
      <c r="A31" s="981" t="s">
        <v>1217</v>
      </c>
      <c r="B31" s="982"/>
      <c r="C31" s="983">
        <v>90</v>
      </c>
      <c r="D31" s="984"/>
      <c r="E31" s="959"/>
      <c r="F31" s="981" t="s">
        <v>1217</v>
      </c>
      <c r="G31" s="982"/>
      <c r="H31" s="985"/>
      <c r="I31" s="985"/>
      <c r="J31" s="985"/>
      <c r="K31" s="985"/>
      <c r="L31" s="985"/>
      <c r="M31" s="985"/>
      <c r="N31" s="983">
        <v>90</v>
      </c>
      <c r="O31" s="959"/>
      <c r="P31" s="959"/>
      <c r="Q31" s="959"/>
    </row>
    <row r="32" spans="1:20">
      <c r="A32" s="984"/>
      <c r="B32" s="984"/>
      <c r="C32" s="984"/>
      <c r="D32" s="984"/>
      <c r="E32" s="959"/>
      <c r="F32" s="959"/>
      <c r="G32" s="959"/>
      <c r="H32" s="959"/>
      <c r="I32" s="959"/>
      <c r="J32" s="959"/>
      <c r="K32" s="959"/>
      <c r="L32" s="959"/>
      <c r="M32" s="959"/>
      <c r="N32" s="959"/>
      <c r="O32" s="959"/>
      <c r="P32" s="959"/>
      <c r="Q32" s="959"/>
    </row>
    <row r="33" spans="1:17">
      <c r="A33" s="984"/>
      <c r="B33" s="984"/>
      <c r="C33" s="984"/>
      <c r="D33" s="984"/>
      <c r="E33"/>
      <c r="F33"/>
      <c r="G33"/>
      <c r="H33"/>
      <c r="I33"/>
      <c r="J33"/>
      <c r="K33"/>
      <c r="L33"/>
      <c r="M33"/>
      <c r="N33"/>
      <c r="O33"/>
      <c r="P33"/>
      <c r="Q33"/>
    </row>
    <row r="34" spans="1:17">
      <c r="A34" s="984"/>
      <c r="B34" s="984"/>
      <c r="C34" s="984"/>
      <c r="D34" s="984"/>
      <c r="E34"/>
      <c r="F34"/>
      <c r="G34"/>
      <c r="H34"/>
      <c r="I34"/>
      <c r="J34"/>
      <c r="K34"/>
      <c r="L34"/>
      <c r="M34"/>
      <c r="N34"/>
      <c r="O34"/>
      <c r="P34"/>
      <c r="Q34"/>
    </row>
    <row r="35" spans="1:17">
      <c r="A35" s="984"/>
      <c r="B35" s="984"/>
      <c r="C35" s="984"/>
      <c r="D35" s="984"/>
      <c r="E35"/>
      <c r="F35"/>
      <c r="G35"/>
      <c r="H35"/>
      <c r="I35"/>
      <c r="J35"/>
      <c r="K35"/>
      <c r="L35"/>
      <c r="M35"/>
      <c r="N35"/>
      <c r="O35"/>
      <c r="P35"/>
      <c r="Q35"/>
    </row>
    <row r="36" spans="1:17">
      <c r="A36" s="984"/>
      <c r="B36" s="984"/>
      <c r="C36" s="984"/>
      <c r="D36" s="984"/>
      <c r="E36"/>
      <c r="F36"/>
      <c r="G36"/>
      <c r="H36"/>
      <c r="I36"/>
      <c r="J36"/>
      <c r="K36"/>
      <c r="L36"/>
      <c r="M36"/>
      <c r="N36"/>
      <c r="O36"/>
      <c r="P36"/>
      <c r="Q36"/>
    </row>
    <row r="37" spans="1:17">
      <c r="A37"/>
      <c r="B37"/>
      <c r="C37"/>
      <c r="D37"/>
      <c r="E37"/>
      <c r="F37"/>
      <c r="G37"/>
      <c r="H37"/>
      <c r="I37"/>
      <c r="J37"/>
      <c r="K37"/>
      <c r="L37"/>
      <c r="M37"/>
      <c r="N37"/>
      <c r="O37"/>
      <c r="P37"/>
      <c r="Q37"/>
    </row>
    <row r="38" spans="1:17">
      <c r="A38"/>
      <c r="B38"/>
      <c r="C38"/>
      <c r="D38"/>
      <c r="E38"/>
      <c r="F38"/>
      <c r="G38"/>
      <c r="H38"/>
      <c r="I38"/>
      <c r="J38"/>
      <c r="K38"/>
      <c r="L38"/>
      <c r="M38"/>
      <c r="N38"/>
      <c r="O38"/>
      <c r="P38"/>
      <c r="Q38"/>
    </row>
    <row r="39" spans="1:17">
      <c r="A39"/>
      <c r="B39"/>
      <c r="C39"/>
      <c r="D39"/>
      <c r="E39"/>
      <c r="F39"/>
      <c r="G39"/>
      <c r="H39"/>
      <c r="I39"/>
      <c r="J39"/>
      <c r="K39"/>
      <c r="L39"/>
      <c r="M39"/>
      <c r="N39"/>
      <c r="O39"/>
      <c r="P39"/>
      <c r="Q39"/>
    </row>
    <row r="40" spans="1:17">
      <c r="A40"/>
      <c r="B40"/>
      <c r="C40"/>
      <c r="D40"/>
      <c r="E40"/>
      <c r="F40"/>
      <c r="G40"/>
      <c r="H40"/>
      <c r="I40"/>
      <c r="J40"/>
      <c r="K40"/>
      <c r="L40"/>
      <c r="M40"/>
      <c r="N40"/>
      <c r="O40"/>
      <c r="P40"/>
      <c r="Q40"/>
    </row>
    <row r="41" spans="1:17">
      <c r="A41"/>
      <c r="B41"/>
      <c r="C41"/>
      <c r="D41"/>
      <c r="E41"/>
      <c r="F41"/>
      <c r="G41"/>
      <c r="H41"/>
      <c r="I41"/>
      <c r="J41"/>
      <c r="K41"/>
      <c r="L41"/>
      <c r="M41"/>
      <c r="N41"/>
      <c r="O41"/>
      <c r="P41"/>
      <c r="Q41"/>
    </row>
    <row r="42" spans="1:17">
      <c r="A42"/>
      <c r="B42"/>
      <c r="C42"/>
      <c r="D42"/>
      <c r="E42"/>
      <c r="F42"/>
      <c r="G42"/>
      <c r="H42"/>
      <c r="I42"/>
      <c r="J42"/>
      <c r="K42"/>
      <c r="L42"/>
      <c r="M42"/>
      <c r="N42"/>
      <c r="O42"/>
      <c r="P42"/>
      <c r="Q42"/>
    </row>
    <row r="43" spans="1:17">
      <c r="A43"/>
      <c r="B43"/>
      <c r="C43"/>
      <c r="D43"/>
      <c r="E43"/>
      <c r="F43"/>
      <c r="G43"/>
      <c r="H43"/>
      <c r="I43"/>
      <c r="J43"/>
      <c r="K43"/>
      <c r="L43"/>
      <c r="M43"/>
      <c r="N43"/>
      <c r="O43"/>
      <c r="P43"/>
      <c r="Q43"/>
    </row>
    <row r="44" spans="1:17">
      <c r="A44"/>
      <c r="B44"/>
      <c r="C44"/>
      <c r="D44"/>
      <c r="E44"/>
      <c r="F44"/>
      <c r="G44"/>
      <c r="H44"/>
      <c r="I44"/>
      <c r="J44"/>
      <c r="K44"/>
      <c r="L44"/>
      <c r="M44"/>
      <c r="N44"/>
      <c r="O44"/>
      <c r="P44"/>
      <c r="Q44"/>
    </row>
    <row r="45" spans="1:17">
      <c r="A45"/>
      <c r="B45"/>
      <c r="C45"/>
      <c r="D45"/>
      <c r="E45"/>
      <c r="F45"/>
      <c r="G45"/>
      <c r="H45"/>
      <c r="I45"/>
      <c r="J45"/>
      <c r="K45"/>
      <c r="L45"/>
      <c r="M45"/>
      <c r="N45"/>
      <c r="O45"/>
      <c r="P45"/>
      <c r="Q45"/>
    </row>
    <row r="46" spans="1:17">
      <c r="A46"/>
      <c r="B46"/>
      <c r="C46"/>
      <c r="D46"/>
      <c r="E46"/>
      <c r="F46"/>
      <c r="G46"/>
      <c r="H46"/>
      <c r="I46"/>
      <c r="J46"/>
      <c r="K46"/>
      <c r="L46"/>
      <c r="M46"/>
      <c r="N46"/>
      <c r="O46"/>
      <c r="P46"/>
      <c r="Q46"/>
    </row>
    <row r="47" spans="1:17">
      <c r="A47"/>
      <c r="B47"/>
      <c r="C47"/>
      <c r="D47"/>
      <c r="E47"/>
      <c r="F47"/>
      <c r="G47"/>
      <c r="H47"/>
      <c r="I47"/>
      <c r="J47"/>
      <c r="K47"/>
      <c r="L47"/>
      <c r="M47"/>
      <c r="N47"/>
      <c r="O47"/>
      <c r="P47"/>
      <c r="Q47"/>
    </row>
    <row r="48" spans="1:17">
      <c r="A48"/>
      <c r="B48"/>
      <c r="C48"/>
      <c r="D48"/>
      <c r="E48"/>
      <c r="F48"/>
      <c r="G48"/>
      <c r="H48"/>
      <c r="I48"/>
      <c r="J48"/>
      <c r="K48"/>
      <c r="L48"/>
      <c r="M48"/>
      <c r="N48"/>
      <c r="O48"/>
      <c r="P48"/>
      <c r="Q48"/>
    </row>
    <row r="49" spans="1:17">
      <c r="A49"/>
      <c r="B49"/>
      <c r="C49"/>
      <c r="D49"/>
      <c r="E49"/>
      <c r="F49"/>
      <c r="G49"/>
      <c r="H49"/>
      <c r="I49"/>
      <c r="J49"/>
      <c r="K49"/>
      <c r="L49"/>
      <c r="M49"/>
      <c r="N49"/>
      <c r="O49"/>
      <c r="P49"/>
      <c r="Q49"/>
    </row>
    <row r="50" spans="1:17">
      <c r="A50"/>
      <c r="B50"/>
      <c r="C50"/>
      <c r="D50"/>
      <c r="E50"/>
      <c r="F50"/>
      <c r="G50"/>
      <c r="H50"/>
      <c r="I50"/>
      <c r="J50"/>
      <c r="K50"/>
      <c r="L50"/>
      <c r="M50"/>
      <c r="N50"/>
      <c r="O50"/>
      <c r="P50"/>
      <c r="Q50"/>
    </row>
    <row r="51" spans="1:17">
      <c r="A51"/>
      <c r="B51"/>
      <c r="C51"/>
      <c r="D51"/>
      <c r="E51"/>
      <c r="F51"/>
      <c r="G51"/>
      <c r="H51"/>
      <c r="I51"/>
      <c r="J51"/>
      <c r="K51"/>
      <c r="L51"/>
      <c r="M51"/>
      <c r="N51"/>
      <c r="O51"/>
      <c r="P51"/>
      <c r="Q51"/>
    </row>
    <row r="52" spans="1:17">
      <c r="A52" s="1045" t="s">
        <v>1218</v>
      </c>
      <c r="B52" s="1045"/>
      <c r="C52" s="986"/>
      <c r="D52" s="986"/>
      <c r="E52" s="959"/>
      <c r="F52" s="959"/>
      <c r="G52" s="959"/>
      <c r="H52" s="959"/>
      <c r="I52" s="986"/>
      <c r="J52" s="986"/>
      <c r="K52" s="959"/>
      <c r="L52" s="959"/>
      <c r="M52" s="959"/>
      <c r="N52" s="959"/>
      <c r="O52" s="959"/>
      <c r="P52" s="959"/>
      <c r="Q52"/>
    </row>
    <row r="53" spans="1:17" ht="13.5" thickBot="1">
      <c r="A53" s="986"/>
      <c r="B53" s="986"/>
      <c r="C53" s="986"/>
      <c r="D53" s="986"/>
      <c r="E53" s="959"/>
      <c r="F53" s="959"/>
      <c r="G53" s="959"/>
      <c r="H53" s="959"/>
      <c r="I53" s="986"/>
      <c r="J53" s="986"/>
      <c r="K53" s="959"/>
      <c r="L53" s="959"/>
      <c r="M53" s="959"/>
      <c r="N53" s="959"/>
      <c r="O53" s="959"/>
      <c r="P53" s="959"/>
      <c r="Q53"/>
    </row>
    <row r="54" spans="1:17" ht="32.25" customHeight="1" thickBot="1">
      <c r="A54" s="1046"/>
      <c r="B54" s="1047"/>
      <c r="C54" s="1047"/>
      <c r="D54" s="1047"/>
      <c r="E54" s="1047"/>
      <c r="F54" s="1047"/>
      <c r="G54" s="1047"/>
      <c r="H54" s="1047"/>
      <c r="I54" s="1047"/>
      <c r="J54" s="1048"/>
      <c r="K54" s="987"/>
      <c r="L54" s="987"/>
      <c r="M54" s="987"/>
      <c r="N54" s="987"/>
      <c r="O54" s="987"/>
      <c r="P54" s="987"/>
      <c r="Q54"/>
    </row>
    <row r="55" spans="1:17">
      <c r="A55" s="987"/>
      <c r="B55" s="987"/>
      <c r="C55" s="987"/>
      <c r="D55" s="987"/>
      <c r="E55" s="987"/>
      <c r="F55" s="987"/>
      <c r="G55" s="987"/>
      <c r="H55" s="987"/>
      <c r="I55" s="987"/>
      <c r="J55" s="987"/>
      <c r="K55" s="987"/>
      <c r="L55" s="987"/>
      <c r="M55" s="987"/>
      <c r="N55" s="987"/>
      <c r="O55" s="987"/>
      <c r="P55" s="987"/>
      <c r="Q55"/>
    </row>
    <row r="56" spans="1:17" ht="13.5" thickBot="1">
      <c r="A56" s="987"/>
      <c r="B56" s="987"/>
      <c r="C56" s="987"/>
      <c r="D56" s="987"/>
      <c r="E56" s="987"/>
      <c r="F56" s="987"/>
      <c r="G56" s="987"/>
      <c r="H56" s="987"/>
      <c r="I56" s="987"/>
      <c r="J56" s="987"/>
      <c r="K56" s="987"/>
      <c r="L56" s="987"/>
      <c r="M56" s="987"/>
      <c r="N56" s="987"/>
      <c r="O56" s="987"/>
      <c r="P56" s="987"/>
      <c r="Q56"/>
    </row>
    <row r="57" spans="1:17" ht="13.5" thickBot="1">
      <c r="A57" s="988" t="s">
        <v>1219</v>
      </c>
      <c r="B57" s="1049" t="s">
        <v>1449</v>
      </c>
      <c r="C57" s="1050"/>
      <c r="D57" s="1050"/>
      <c r="E57" s="1050"/>
      <c r="F57" s="1050"/>
      <c r="G57" s="1050"/>
      <c r="H57" s="1050"/>
      <c r="I57" s="1050"/>
      <c r="J57" s="1051"/>
      <c r="K57" s="987"/>
      <c r="L57" s="987"/>
      <c r="M57" s="987"/>
      <c r="N57" s="987"/>
      <c r="O57" s="987"/>
      <c r="P57" s="987"/>
      <c r="Q57"/>
    </row>
    <row r="58" spans="1:17" ht="13.5" thickBot="1">
      <c r="A58" s="988"/>
      <c r="B58" s="988"/>
      <c r="C58" s="988"/>
      <c r="D58" s="988"/>
      <c r="E58" s="987"/>
      <c r="F58" s="987"/>
      <c r="G58" s="987"/>
      <c r="H58" s="987"/>
      <c r="I58" s="988"/>
      <c r="J58" s="987"/>
      <c r="K58" s="987"/>
      <c r="L58" s="987"/>
      <c r="M58" s="987"/>
      <c r="N58" s="987"/>
      <c r="O58" s="987"/>
      <c r="P58" s="987"/>
      <c r="Q58"/>
    </row>
    <row r="59" spans="1:17" ht="13.5" thickBot="1">
      <c r="A59" s="988" t="s">
        <v>1220</v>
      </c>
      <c r="B59" s="1052">
        <v>44063</v>
      </c>
      <c r="C59" s="1051"/>
      <c r="D59" s="989"/>
      <c r="E59" s="987"/>
      <c r="F59" s="987"/>
      <c r="G59" s="987"/>
      <c r="H59" s="987"/>
      <c r="I59" s="987"/>
      <c r="J59" s="987"/>
      <c r="K59" s="987"/>
      <c r="L59" s="987"/>
      <c r="M59" s="987"/>
      <c r="N59" s="987"/>
      <c r="O59" s="987"/>
      <c r="P59" s="987"/>
      <c r="Q59"/>
    </row>
    <row r="60" spans="1:17">
      <c r="A60" s="673"/>
      <c r="B60" s="673"/>
      <c r="C60" s="673"/>
      <c r="D60" s="673"/>
      <c r="E60" s="673"/>
      <c r="F60" s="673"/>
      <c r="G60" s="673"/>
      <c r="H60" s="673"/>
      <c r="I60" s="673"/>
      <c r="J60" s="673"/>
      <c r="K60" s="673"/>
      <c r="L60" s="673"/>
      <c r="M60" s="673"/>
      <c r="N60" s="673"/>
      <c r="O60" s="673"/>
      <c r="P60" s="673"/>
      <c r="Q60"/>
    </row>
    <row r="61" spans="1:17">
      <c r="A61" s="673"/>
      <c r="B61" s="673"/>
      <c r="C61" s="673"/>
      <c r="D61" s="673"/>
      <c r="E61" s="673"/>
      <c r="F61" s="673"/>
      <c r="G61" s="673"/>
      <c r="H61" s="673"/>
      <c r="I61" s="673"/>
      <c r="J61" s="673"/>
      <c r="K61" s="673"/>
      <c r="L61" s="673"/>
      <c r="M61" s="673"/>
      <c r="N61" s="673"/>
      <c r="O61" s="673"/>
      <c r="P61" s="673"/>
      <c r="Q61"/>
    </row>
    <row r="62" spans="1:17">
      <c r="A62" s="673"/>
      <c r="B62" s="673"/>
      <c r="C62" s="673"/>
      <c r="D62" s="673"/>
      <c r="E62" s="673"/>
      <c r="F62" s="673"/>
      <c r="G62" s="673"/>
      <c r="H62" s="673"/>
      <c r="I62" s="673"/>
      <c r="J62" s="673"/>
      <c r="K62" s="673"/>
      <c r="L62" s="673"/>
      <c r="M62" s="673"/>
      <c r="N62" s="673"/>
      <c r="O62" s="673"/>
      <c r="P62" s="673"/>
      <c r="Q62"/>
    </row>
    <row r="63" spans="1:17">
      <c r="A63" s="673"/>
      <c r="B63" s="673"/>
      <c r="C63" s="673"/>
      <c r="D63" s="673"/>
      <c r="E63" s="673"/>
      <c r="F63" s="673"/>
      <c r="G63" s="673"/>
      <c r="H63" s="673"/>
      <c r="I63" s="673"/>
      <c r="J63" s="673"/>
      <c r="K63" s="673"/>
      <c r="L63" s="673"/>
      <c r="M63" s="673"/>
      <c r="N63" s="673"/>
      <c r="O63" s="673"/>
      <c r="P63" s="673"/>
      <c r="Q63"/>
    </row>
    <row r="64" spans="1:17">
      <c r="A64" s="673"/>
      <c r="B64" s="673"/>
      <c r="C64" s="673"/>
      <c r="D64" s="673"/>
      <c r="E64" s="673"/>
      <c r="F64" s="673"/>
      <c r="G64" s="673"/>
      <c r="H64" s="673"/>
      <c r="I64" s="673"/>
      <c r="J64" s="673"/>
      <c r="K64" s="673"/>
      <c r="L64" s="673"/>
      <c r="M64" s="673"/>
      <c r="N64" s="673"/>
      <c r="O64" s="673"/>
      <c r="P64" s="673"/>
    </row>
    <row r="65" spans="1:16">
      <c r="A65" s="673"/>
      <c r="B65" s="673"/>
      <c r="C65" s="673"/>
      <c r="D65" s="673"/>
      <c r="E65" s="673"/>
      <c r="F65" s="673"/>
      <c r="G65" s="673"/>
      <c r="H65" s="673"/>
      <c r="I65" s="673"/>
      <c r="J65" s="673"/>
      <c r="K65" s="673"/>
      <c r="L65" s="673"/>
      <c r="M65" s="673"/>
      <c r="N65" s="673"/>
      <c r="O65" s="673"/>
      <c r="P65" s="673"/>
    </row>
    <row r="66" spans="1:16">
      <c r="A66" s="673"/>
      <c r="B66" s="673"/>
      <c r="C66" s="673"/>
      <c r="D66" s="673"/>
      <c r="E66" s="673"/>
      <c r="F66" s="673"/>
      <c r="G66" s="673"/>
      <c r="H66" s="673"/>
      <c r="I66" s="673"/>
      <c r="J66" s="673"/>
      <c r="K66" s="673"/>
      <c r="L66" s="673"/>
      <c r="M66" s="673"/>
      <c r="N66" s="673"/>
      <c r="O66" s="673"/>
      <c r="P66" s="673"/>
    </row>
    <row r="67" spans="1:16">
      <c r="A67" s="673"/>
      <c r="B67" s="673"/>
      <c r="C67" s="673"/>
      <c r="D67" s="673"/>
      <c r="E67" s="673"/>
      <c r="F67" s="673"/>
      <c r="G67" s="673"/>
      <c r="H67" s="673"/>
      <c r="I67" s="673"/>
      <c r="J67" s="673"/>
      <c r="K67" s="673"/>
      <c r="L67" s="673"/>
      <c r="M67" s="673"/>
      <c r="N67" s="673"/>
      <c r="O67" s="673"/>
      <c r="P67" s="673"/>
    </row>
    <row r="68" spans="1:16">
      <c r="A68" s="673"/>
      <c r="B68" s="673"/>
      <c r="C68" s="673"/>
      <c r="D68" s="673"/>
      <c r="E68" s="673"/>
      <c r="F68" s="673"/>
      <c r="G68" s="673"/>
      <c r="H68" s="673"/>
      <c r="I68" s="673"/>
      <c r="J68" s="673"/>
      <c r="K68" s="673"/>
      <c r="L68" s="673"/>
      <c r="M68" s="673"/>
      <c r="N68" s="673"/>
      <c r="O68" s="673"/>
      <c r="P68" s="673"/>
    </row>
    <row r="69" spans="1:16">
      <c r="A69" s="673"/>
      <c r="B69" s="673"/>
      <c r="C69" s="673"/>
      <c r="D69" s="673"/>
      <c r="E69" s="673"/>
      <c r="F69" s="673"/>
      <c r="G69" s="673"/>
      <c r="H69" s="673"/>
      <c r="I69" s="673"/>
      <c r="J69" s="673"/>
      <c r="K69" s="673"/>
      <c r="L69" s="673"/>
      <c r="M69" s="673"/>
      <c r="N69" s="673"/>
      <c r="O69" s="673"/>
      <c r="P69" s="673"/>
    </row>
    <row r="70" spans="1:16">
      <c r="A70" s="673"/>
      <c r="B70" s="673"/>
      <c r="C70" s="673"/>
      <c r="D70" s="673"/>
      <c r="E70" s="673"/>
      <c r="F70" s="673"/>
      <c r="G70" s="673"/>
      <c r="H70" s="673"/>
      <c r="I70" s="673"/>
      <c r="J70" s="673"/>
      <c r="K70" s="673"/>
      <c r="L70" s="673"/>
      <c r="M70" s="673"/>
      <c r="N70" s="673"/>
      <c r="O70" s="673"/>
      <c r="P70" s="673"/>
    </row>
  </sheetData>
  <mergeCells count="26">
    <mergeCell ref="P10:P11"/>
    <mergeCell ref="Q10:Q11"/>
    <mergeCell ref="N9:Q9"/>
    <mergeCell ref="A5:B5"/>
    <mergeCell ref="C5:J5"/>
    <mergeCell ref="A7:B7"/>
    <mergeCell ref="B9:C9"/>
    <mergeCell ref="E9:H9"/>
    <mergeCell ref="J9:K9"/>
    <mergeCell ref="N10:N11"/>
    <mergeCell ref="O10:O11"/>
    <mergeCell ref="M10:M11"/>
    <mergeCell ref="K10:L10"/>
    <mergeCell ref="A52:B52"/>
    <mergeCell ref="A54:J54"/>
    <mergeCell ref="B57:J57"/>
    <mergeCell ref="B59:C59"/>
    <mergeCell ref="A10:A11"/>
    <mergeCell ref="B10:B11"/>
    <mergeCell ref="C10:C11"/>
    <mergeCell ref="D10:D11"/>
    <mergeCell ref="E10:E11"/>
    <mergeCell ref="F10:F11"/>
    <mergeCell ref="G10:G11"/>
    <mergeCell ref="H10:H11"/>
    <mergeCell ref="J10:J11"/>
  </mergeCells>
  <pageMargins left="0.31496062992125984" right="0.11811023622047245" top="0.15748031496062992" bottom="0.15748031496062992" header="0.31496062992125984" footer="0.31496062992125984"/>
  <pageSetup paperSize="9" scale="80" orientation="portrait" horizontalDpi="4294967293"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I84"/>
  <sheetViews>
    <sheetView showWhiteSpace="0" topLeftCell="A19" zoomScale="98" zoomScaleNormal="98" workbookViewId="0">
      <selection activeCell="D20" sqref="D20"/>
    </sheetView>
  </sheetViews>
  <sheetFormatPr baseColWidth="10" defaultRowHeight="12.75"/>
  <cols>
    <col min="1" max="1" width="46" customWidth="1"/>
    <col min="2" max="2" width="20.5703125" customWidth="1"/>
    <col min="3" max="3" width="19.42578125" customWidth="1"/>
    <col min="5" max="5" width="11.42578125" style="9"/>
  </cols>
  <sheetData>
    <row r="1" spans="1:9">
      <c r="A1" s="8"/>
      <c r="C1" s="677">
        <v>10</v>
      </c>
    </row>
    <row r="2" spans="1:9">
      <c r="A2" s="1025" t="s">
        <v>213</v>
      </c>
      <c r="B2" s="1025"/>
      <c r="C2" s="1025"/>
    </row>
    <row r="3" spans="1:9" ht="77.25" customHeight="1">
      <c r="A3" s="1025" t="s">
        <v>1356</v>
      </c>
      <c r="B3" s="1025"/>
      <c r="C3" s="1025"/>
    </row>
    <row r="4" spans="1:9" ht="36.75" customHeight="1">
      <c r="A4" s="1025" t="s">
        <v>142</v>
      </c>
      <c r="B4" s="1025"/>
      <c r="C4" s="1025"/>
    </row>
    <row r="5" spans="1:9" ht="13.5" customHeight="1">
      <c r="A5" s="1025" t="s">
        <v>143</v>
      </c>
      <c r="B5" s="1025"/>
      <c r="C5" s="1025"/>
    </row>
    <row r="6" spans="1:9">
      <c r="A6" s="8"/>
      <c r="B6" s="8"/>
      <c r="C6" s="8"/>
    </row>
    <row r="7" spans="1:9">
      <c r="A7" s="11" t="s">
        <v>144</v>
      </c>
      <c r="B7" s="11"/>
      <c r="C7" s="11"/>
    </row>
    <row r="8" spans="1:9" ht="13.5" thickBot="1">
      <c r="A8" s="56"/>
      <c r="B8" s="11"/>
      <c r="C8" s="143"/>
    </row>
    <row r="9" spans="1:9" ht="24">
      <c r="A9" s="50" t="s">
        <v>145</v>
      </c>
      <c r="B9" s="144" t="s">
        <v>146</v>
      </c>
      <c r="C9" s="145" t="s">
        <v>147</v>
      </c>
      <c r="E9" s="2"/>
    </row>
    <row r="10" spans="1:9">
      <c r="A10" s="51" t="s">
        <v>1321</v>
      </c>
      <c r="B10" s="56"/>
      <c r="C10" s="791"/>
      <c r="D10" s="990"/>
      <c r="E10" s="991"/>
      <c r="F10" s="990"/>
      <c r="G10" s="990"/>
      <c r="H10" s="990"/>
      <c r="I10" s="990"/>
    </row>
    <row r="11" spans="1:9" ht="12.75" customHeight="1">
      <c r="A11" s="781" t="s">
        <v>1318</v>
      </c>
      <c r="B11" s="146" t="s">
        <v>58</v>
      </c>
      <c r="C11" s="147" t="s">
        <v>67</v>
      </c>
      <c r="D11" s="990"/>
      <c r="E11" s="991"/>
      <c r="F11" s="990"/>
      <c r="G11" s="990"/>
      <c r="H11" s="990"/>
      <c r="I11" s="990"/>
    </row>
    <row r="12" spans="1:9" ht="12.75" customHeight="1">
      <c r="A12" s="51" t="s">
        <v>148</v>
      </c>
      <c r="B12" s="148">
        <v>0</v>
      </c>
      <c r="C12" s="149">
        <f>+[11]General!$K$10</f>
        <v>671321.83652849996</v>
      </c>
      <c r="D12" s="990"/>
      <c r="E12" s="991"/>
      <c r="F12" s="990"/>
      <c r="G12" s="990"/>
      <c r="H12" s="990"/>
      <c r="I12" s="990"/>
    </row>
    <row r="13" spans="1:9">
      <c r="A13" s="51" t="s">
        <v>1319</v>
      </c>
      <c r="B13" s="148">
        <v>0</v>
      </c>
      <c r="C13" s="149">
        <f>+[11]General!$N$10</f>
        <v>886144.82421761996</v>
      </c>
      <c r="D13" s="992"/>
      <c r="E13" s="991"/>
      <c r="F13" s="990"/>
      <c r="G13" s="990"/>
      <c r="H13" s="990"/>
      <c r="I13" s="990"/>
    </row>
    <row r="14" spans="1:9">
      <c r="A14" s="150" t="s">
        <v>210</v>
      </c>
      <c r="B14" s="148">
        <v>0</v>
      </c>
      <c r="C14" s="149">
        <f>+C12*65%</f>
        <v>436359.19374352501</v>
      </c>
      <c r="D14" s="990"/>
      <c r="E14" s="991"/>
      <c r="F14" s="990"/>
      <c r="G14" s="990"/>
      <c r="H14" s="990"/>
      <c r="I14" s="990"/>
    </row>
    <row r="15" spans="1:9">
      <c r="A15" s="51" t="s">
        <v>149</v>
      </c>
      <c r="B15" s="151">
        <v>0</v>
      </c>
      <c r="C15" s="152">
        <v>0</v>
      </c>
      <c r="D15" s="990"/>
      <c r="E15" s="991"/>
      <c r="F15" s="990"/>
      <c r="G15" s="990"/>
      <c r="H15" s="990"/>
      <c r="I15" s="990"/>
    </row>
    <row r="16" spans="1:9" ht="59.25">
      <c r="A16" s="51" t="s">
        <v>211</v>
      </c>
      <c r="B16" s="151">
        <v>0</v>
      </c>
      <c r="C16" s="152">
        <v>0</v>
      </c>
      <c r="D16" s="994" t="s">
        <v>1476</v>
      </c>
      <c r="E16" s="995"/>
      <c r="F16" s="994"/>
      <c r="G16" s="994"/>
      <c r="H16" s="994"/>
      <c r="I16" s="994"/>
    </row>
    <row r="17" spans="1:9" ht="60" thickBot="1">
      <c r="A17" s="51"/>
      <c r="B17" s="153"/>
      <c r="C17" s="154"/>
      <c r="D17" s="994" t="s">
        <v>1477</v>
      </c>
      <c r="E17" s="996"/>
      <c r="F17" s="994"/>
      <c r="G17" s="994"/>
      <c r="H17" s="994"/>
      <c r="I17" s="994"/>
    </row>
    <row r="18" spans="1:9" ht="13.5" thickTop="1">
      <c r="A18" s="51" t="s">
        <v>150</v>
      </c>
      <c r="B18" s="148">
        <f>SUM(B12:B17)</f>
        <v>0</v>
      </c>
      <c r="C18" s="149">
        <f>SUM(C12:C17)</f>
        <v>1993825.854489645</v>
      </c>
      <c r="D18" s="990"/>
      <c r="E18" s="993"/>
      <c r="F18" s="990"/>
      <c r="G18" s="990"/>
      <c r="H18" s="990"/>
      <c r="I18" s="990"/>
    </row>
    <row r="19" spans="1:9" ht="59.25">
      <c r="A19" s="52" t="s">
        <v>151</v>
      </c>
      <c r="B19" s="11"/>
      <c r="C19" s="155"/>
      <c r="D19" s="994" t="s">
        <v>1478</v>
      </c>
      <c r="E19" s="993"/>
      <c r="F19" s="990"/>
      <c r="G19" s="990"/>
      <c r="H19" s="990"/>
      <c r="I19" s="990"/>
    </row>
    <row r="20" spans="1:9" ht="48" customHeight="1">
      <c r="A20" s="51" t="s">
        <v>212</v>
      </c>
      <c r="B20" s="148">
        <v>0</v>
      </c>
      <c r="C20" s="149">
        <f>+C18*10%</f>
        <v>199382.5854489645</v>
      </c>
      <c r="D20" s="990"/>
      <c r="E20" s="993"/>
      <c r="F20" s="990"/>
      <c r="G20" s="990"/>
      <c r="H20" s="990"/>
      <c r="I20" s="990"/>
    </row>
    <row r="21" spans="1:9" ht="13.5" thickBot="1">
      <c r="A21" s="51"/>
      <c r="B21" s="153"/>
      <c r="C21" s="154"/>
    </row>
    <row r="22" spans="1:9" ht="13.5" thickTop="1">
      <c r="A22" s="51" t="s">
        <v>161</v>
      </c>
      <c r="B22" s="148">
        <f>+B18+B20</f>
        <v>0</v>
      </c>
      <c r="C22" s="149">
        <f>+C18+C20</f>
        <v>2193208.4399386095</v>
      </c>
    </row>
    <row r="23" spans="1:9">
      <c r="A23" s="52" t="s">
        <v>162</v>
      </c>
      <c r="B23" s="11"/>
      <c r="C23" s="155"/>
    </row>
    <row r="24" spans="1:9">
      <c r="A24" s="150" t="s">
        <v>1349</v>
      </c>
      <c r="B24" s="148">
        <v>0</v>
      </c>
      <c r="C24" s="149">
        <f>+C22*30%</f>
        <v>657962.53198158287</v>
      </c>
    </row>
    <row r="25" spans="1:9" ht="13.5" thickBot="1">
      <c r="A25" s="53" t="s">
        <v>164</v>
      </c>
      <c r="B25" s="156">
        <v>0</v>
      </c>
      <c r="C25" s="157">
        <f>+C22+C24</f>
        <v>2851170.9719201922</v>
      </c>
    </row>
    <row r="26" spans="1:9">
      <c r="A26" s="8"/>
    </row>
    <row r="27" spans="1:9">
      <c r="A27" s="8"/>
    </row>
    <row r="28" spans="1:9">
      <c r="A28" s="8"/>
    </row>
    <row r="29" spans="1:9">
      <c r="A29" s="8"/>
    </row>
    <row r="30" spans="1:9" ht="60" customHeight="1">
      <c r="A30" s="8"/>
      <c r="C30" s="2"/>
    </row>
    <row r="31" spans="1:9">
      <c r="A31" s="55" t="s">
        <v>1281</v>
      </c>
      <c r="C31" s="2"/>
    </row>
    <row r="32" spans="1:9">
      <c r="A32" s="55"/>
      <c r="C32" s="2"/>
    </row>
    <row r="33" spans="1:3">
      <c r="A33" s="55" t="s">
        <v>1348</v>
      </c>
      <c r="C33" s="2"/>
    </row>
    <row r="34" spans="1:3">
      <c r="C34" s="2"/>
    </row>
    <row r="51" spans="1:3">
      <c r="C51" s="885">
        <v>11</v>
      </c>
    </row>
    <row r="53" spans="1:3" ht="76.5" customHeight="1">
      <c r="A53" s="1025" t="s">
        <v>213</v>
      </c>
      <c r="B53" s="1025"/>
      <c r="C53" s="1025"/>
    </row>
    <row r="54" spans="1:3">
      <c r="A54" s="1025" t="str">
        <f>+A3</f>
        <v>PROYECTO PRESUPUESTO ORDINARIO PARA EL PERIODO 2021</v>
      </c>
      <c r="B54" s="1025"/>
      <c r="C54" s="1025"/>
    </row>
    <row r="55" spans="1:3" ht="48" customHeight="1">
      <c r="A55" s="1025"/>
      <c r="B55" s="1025"/>
      <c r="C55" s="1025"/>
    </row>
    <row r="56" spans="1:3">
      <c r="A56" s="1025" t="s">
        <v>1096</v>
      </c>
      <c r="B56" s="1025"/>
      <c r="C56" s="1025"/>
    </row>
    <row r="57" spans="1:3">
      <c r="A57" s="8"/>
      <c r="B57" s="8"/>
      <c r="C57" s="8"/>
    </row>
    <row r="58" spans="1:3">
      <c r="A58" s="11"/>
      <c r="B58" s="11"/>
      <c r="C58" s="11"/>
    </row>
    <row r="59" spans="1:3" ht="13.5" thickBot="1">
      <c r="A59" s="8"/>
      <c r="B59" s="11"/>
      <c r="C59" s="143"/>
    </row>
    <row r="60" spans="1:3" ht="24">
      <c r="A60" s="50" t="s">
        <v>1097</v>
      </c>
      <c r="B60" s="144" t="s">
        <v>146</v>
      </c>
      <c r="C60" s="145" t="s">
        <v>147</v>
      </c>
    </row>
    <row r="61" spans="1:3">
      <c r="A61" s="51" t="s">
        <v>1098</v>
      </c>
      <c r="B61" s="8"/>
      <c r="C61" s="126"/>
    </row>
    <row r="62" spans="1:3">
      <c r="A62" s="781" t="s">
        <v>1269</v>
      </c>
      <c r="B62" s="146" t="s">
        <v>58</v>
      </c>
      <c r="C62" s="147" t="s">
        <v>67</v>
      </c>
    </row>
    <row r="63" spans="1:3">
      <c r="A63" s="51" t="s">
        <v>148</v>
      </c>
      <c r="B63" s="148">
        <v>0</v>
      </c>
      <c r="C63" s="149">
        <f>+C22</f>
        <v>2193208.4399386095</v>
      </c>
    </row>
    <row r="64" spans="1:3">
      <c r="A64" s="51" t="s">
        <v>1099</v>
      </c>
      <c r="B64" s="148">
        <v>0</v>
      </c>
      <c r="C64" s="149">
        <v>0</v>
      </c>
    </row>
    <row r="65" spans="1:3">
      <c r="A65" s="150" t="s">
        <v>210</v>
      </c>
      <c r="B65" s="148">
        <v>0</v>
      </c>
      <c r="C65" s="149">
        <v>0</v>
      </c>
    </row>
    <row r="66" spans="1:3">
      <c r="A66" s="51" t="s">
        <v>149</v>
      </c>
      <c r="B66" s="151">
        <v>0</v>
      </c>
      <c r="C66" s="152">
        <v>0</v>
      </c>
    </row>
    <row r="67" spans="1:3">
      <c r="A67" s="51" t="s">
        <v>211</v>
      </c>
      <c r="B67" s="151">
        <v>0</v>
      </c>
      <c r="C67" s="152">
        <v>0</v>
      </c>
    </row>
    <row r="68" spans="1:3" ht="13.5" thickBot="1">
      <c r="A68" s="51"/>
      <c r="B68" s="153"/>
      <c r="C68" s="154"/>
    </row>
    <row r="69" spans="1:3" ht="13.5" thickTop="1">
      <c r="A69" s="51" t="s">
        <v>150</v>
      </c>
      <c r="B69" s="148">
        <f>SUM(B63:B68)</f>
        <v>0</v>
      </c>
      <c r="C69" s="149">
        <f>SUM(C63:C68)</f>
        <v>2193208.4399386095</v>
      </c>
    </row>
    <row r="70" spans="1:3">
      <c r="A70" s="52" t="s">
        <v>151</v>
      </c>
      <c r="B70" s="11"/>
      <c r="C70" s="155"/>
    </row>
    <row r="71" spans="1:3">
      <c r="A71" s="51" t="s">
        <v>212</v>
      </c>
      <c r="B71" s="148">
        <v>0</v>
      </c>
      <c r="C71" s="149">
        <v>0</v>
      </c>
    </row>
    <row r="72" spans="1:3" ht="13.5" thickBot="1">
      <c r="A72" s="51"/>
      <c r="B72" s="153"/>
      <c r="C72" s="154"/>
    </row>
    <row r="73" spans="1:3" ht="13.5" thickTop="1">
      <c r="A73" s="51" t="s">
        <v>1100</v>
      </c>
      <c r="B73" s="148">
        <f>+B69+B71</f>
        <v>0</v>
      </c>
      <c r="C73" s="149">
        <f>+C69*80%</f>
        <v>1754566.7519508877</v>
      </c>
    </row>
    <row r="74" spans="1:3">
      <c r="A74" s="52" t="s">
        <v>162</v>
      </c>
      <c r="B74" s="11"/>
      <c r="C74" s="155"/>
    </row>
    <row r="75" spans="1:3">
      <c r="A75" s="150" t="s">
        <v>163</v>
      </c>
      <c r="B75" s="148">
        <v>0</v>
      </c>
      <c r="C75" s="149">
        <v>0</v>
      </c>
    </row>
    <row r="76" spans="1:3" ht="13.5" thickBot="1">
      <c r="A76" s="53" t="s">
        <v>164</v>
      </c>
      <c r="B76" s="156">
        <v>0</v>
      </c>
      <c r="C76" s="157">
        <f>+C73</f>
        <v>1754566.7519508877</v>
      </c>
    </row>
    <row r="77" spans="1:3">
      <c r="A77" s="8"/>
    </row>
    <row r="78" spans="1:3">
      <c r="A78" s="8"/>
    </row>
    <row r="79" spans="1:3">
      <c r="A79" s="8"/>
    </row>
    <row r="80" spans="1:3">
      <c r="A80" s="8"/>
    </row>
    <row r="81" spans="1:3">
      <c r="A81" s="8"/>
      <c r="C81" s="2"/>
    </row>
    <row r="82" spans="1:3">
      <c r="A82" s="55" t="str">
        <f>+A31</f>
        <v>Elaborado por: Bach Ian Garcia Salas</v>
      </c>
      <c r="C82" s="2"/>
    </row>
    <row r="83" spans="1:3">
      <c r="A83" s="55"/>
      <c r="C83" s="2"/>
    </row>
    <row r="84" spans="1:3">
      <c r="A84" s="55" t="str">
        <f>+A33</f>
        <v>Fecha: 29/09/2019</v>
      </c>
      <c r="C84" s="2"/>
    </row>
  </sheetData>
  <mergeCells count="8">
    <mergeCell ref="A55:C55"/>
    <mergeCell ref="A56:C56"/>
    <mergeCell ref="A2:C2"/>
    <mergeCell ref="A3:C3"/>
    <mergeCell ref="A4:C4"/>
    <mergeCell ref="A5:C5"/>
    <mergeCell ref="A54:C54"/>
    <mergeCell ref="A53:C53"/>
  </mergeCells>
  <phoneticPr fontId="3" type="noConversion"/>
  <pageMargins left="0.75" right="0.75" top="1" bottom="1" header="0" footer="0"/>
  <pageSetup orientation="portrait" horizontalDpi="4294967294" verticalDpi="144" r:id="rId1"/>
  <headerFooter alignWithMargins="0">
    <oddFooter>&amp;L&amp;8&amp;Z&amp;F</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O74"/>
  <sheetViews>
    <sheetView topLeftCell="A34" workbookViewId="0">
      <selection activeCell="D66" sqref="D66"/>
    </sheetView>
  </sheetViews>
  <sheetFormatPr baseColWidth="10" defaultColWidth="11.5703125" defaultRowHeight="12"/>
  <cols>
    <col min="1" max="1" width="8.28515625" style="11" customWidth="1"/>
    <col min="2" max="2" width="8.85546875" style="11" customWidth="1"/>
    <col min="3" max="3" width="8.7109375" style="11" customWidth="1"/>
    <col min="4" max="4" width="26" style="11" customWidth="1"/>
    <col min="5" max="5" width="13.140625" style="11" customWidth="1"/>
    <col min="6" max="6" width="10.85546875" style="11" customWidth="1"/>
    <col min="7" max="7" width="13.140625" style="11" customWidth="1"/>
    <col min="8" max="8" width="9.7109375" style="11" customWidth="1"/>
    <col min="9" max="9" width="8.7109375" style="11" customWidth="1"/>
    <col min="10" max="10" width="14.140625" style="11" customWidth="1"/>
    <col min="11" max="11" width="16" style="194" customWidth="1"/>
    <col min="12" max="12" width="2.5703125" style="13" customWidth="1"/>
    <col min="13" max="13" width="17" style="194" customWidth="1"/>
    <col min="14" max="14" width="14.5703125" style="11" customWidth="1"/>
    <col min="15" max="15" width="18.85546875" style="194" customWidth="1"/>
    <col min="16" max="16384" width="11.5703125" style="11"/>
  </cols>
  <sheetData>
    <row r="1" spans="1:15" customFormat="1" ht="12.75">
      <c r="A1" s="57"/>
      <c r="B1" s="10"/>
      <c r="C1" s="10"/>
      <c r="D1" s="10"/>
      <c r="E1" s="10"/>
      <c r="F1" s="10"/>
      <c r="G1" s="10"/>
      <c r="H1" s="10"/>
      <c r="I1" s="10"/>
      <c r="J1" s="247">
        <v>12</v>
      </c>
      <c r="K1" s="229"/>
      <c r="L1" s="10"/>
      <c r="M1" s="2"/>
      <c r="O1" s="2"/>
    </row>
    <row r="2" spans="1:15" customFormat="1" ht="12.75">
      <c r="A2" s="1025" t="s">
        <v>199</v>
      </c>
      <c r="B2" s="1025"/>
      <c r="C2" s="1025"/>
      <c r="D2" s="1025"/>
      <c r="E2" s="1025"/>
      <c r="F2" s="1025"/>
      <c r="G2" s="1025"/>
      <c r="H2" s="1025"/>
      <c r="I2" s="1025"/>
      <c r="J2" s="1025"/>
      <c r="K2" s="229"/>
      <c r="L2" s="10"/>
      <c r="M2" s="2"/>
      <c r="O2" s="2"/>
    </row>
    <row r="3" spans="1:15" customFormat="1" ht="12.75">
      <c r="A3" s="1025" t="s">
        <v>1350</v>
      </c>
      <c r="B3" s="1025"/>
      <c r="C3" s="1025"/>
      <c r="D3" s="1025"/>
      <c r="E3" s="1025"/>
      <c r="F3" s="1025"/>
      <c r="G3" s="1025"/>
      <c r="H3" s="1025"/>
      <c r="I3" s="1025"/>
      <c r="J3" s="1025"/>
      <c r="K3" s="229"/>
      <c r="L3" s="10"/>
      <c r="M3" s="2"/>
      <c r="O3" s="2"/>
    </row>
    <row r="4" spans="1:15" ht="12.75">
      <c r="A4" s="1025" t="s">
        <v>50</v>
      </c>
      <c r="B4" s="1025"/>
      <c r="C4" s="1025"/>
      <c r="D4" s="1025"/>
      <c r="E4" s="1025"/>
      <c r="F4" s="1025"/>
      <c r="G4" s="1025"/>
      <c r="H4" s="1025"/>
      <c r="I4" s="1025"/>
      <c r="J4" s="1025"/>
      <c r="K4" s="230"/>
      <c r="L4" s="12"/>
    </row>
    <row r="5" spans="1:15" ht="12.75">
      <c r="A5" s="1025" t="s">
        <v>51</v>
      </c>
      <c r="B5" s="1025"/>
      <c r="C5" s="1025"/>
      <c r="D5" s="1025"/>
      <c r="E5" s="1025"/>
      <c r="F5" s="1025"/>
      <c r="G5" s="1025"/>
      <c r="H5" s="1025"/>
      <c r="I5" s="1025"/>
      <c r="J5" s="1025"/>
    </row>
    <row r="6" spans="1:15" ht="12.75">
      <c r="A6" s="884"/>
    </row>
    <row r="7" spans="1:15" ht="12.75" customHeight="1">
      <c r="A7" s="1071" t="s">
        <v>52</v>
      </c>
      <c r="B7" s="14" t="s">
        <v>53</v>
      </c>
      <c r="C7" s="15"/>
      <c r="D7" s="16"/>
      <c r="E7" s="17" t="s">
        <v>54</v>
      </c>
      <c r="F7" s="17" t="s">
        <v>55</v>
      </c>
      <c r="G7" s="14" t="s">
        <v>56</v>
      </c>
      <c r="H7" s="17" t="s">
        <v>53</v>
      </c>
      <c r="I7" s="14" t="s">
        <v>57</v>
      </c>
      <c r="J7" s="17" t="s">
        <v>1022</v>
      </c>
      <c r="L7" s="11"/>
    </row>
    <row r="8" spans="1:15" ht="12" customHeight="1">
      <c r="A8" s="1072"/>
      <c r="B8" s="146" t="s">
        <v>58</v>
      </c>
      <c r="C8" s="18" t="s">
        <v>59</v>
      </c>
      <c r="D8" s="19" t="s">
        <v>60</v>
      </c>
      <c r="E8" s="20" t="s">
        <v>61</v>
      </c>
      <c r="F8" s="20" t="s">
        <v>62</v>
      </c>
      <c r="G8" s="146" t="s">
        <v>61</v>
      </c>
      <c r="H8" s="20" t="s">
        <v>63</v>
      </c>
      <c r="I8" s="146">
        <v>0</v>
      </c>
      <c r="J8" s="20" t="s">
        <v>64</v>
      </c>
      <c r="L8" s="11"/>
    </row>
    <row r="9" spans="1:15" ht="12" customHeight="1">
      <c r="A9" s="1072"/>
      <c r="B9" s="146"/>
      <c r="C9" s="19" t="s">
        <v>65</v>
      </c>
      <c r="D9" s="19" t="s">
        <v>66</v>
      </c>
      <c r="E9" s="20" t="s">
        <v>58</v>
      </c>
      <c r="F9" s="20" t="s">
        <v>61</v>
      </c>
      <c r="G9" s="146" t="s">
        <v>67</v>
      </c>
      <c r="H9" s="20"/>
      <c r="I9" s="146" t="s">
        <v>68</v>
      </c>
      <c r="J9" s="20" t="s">
        <v>69</v>
      </c>
      <c r="L9" s="11"/>
    </row>
    <row r="10" spans="1:15" ht="12" customHeight="1">
      <c r="A10" s="1073"/>
      <c r="B10" s="21"/>
      <c r="C10" s="22"/>
      <c r="D10" s="23"/>
      <c r="E10" s="24"/>
      <c r="F10" s="25" t="s">
        <v>70</v>
      </c>
      <c r="G10" s="21"/>
      <c r="H10" s="24"/>
      <c r="I10" s="21"/>
      <c r="J10" s="20"/>
      <c r="L10" s="11"/>
    </row>
    <row r="11" spans="1:15">
      <c r="A11" s="26"/>
      <c r="B11" s="27"/>
      <c r="C11" s="28"/>
      <c r="D11" s="27"/>
      <c r="E11" s="27"/>
      <c r="F11" s="27"/>
      <c r="G11" s="29"/>
      <c r="H11" s="30"/>
      <c r="I11" s="30"/>
      <c r="J11" s="31"/>
      <c r="L11" s="11"/>
    </row>
    <row r="12" spans="1:15">
      <c r="A12" s="32"/>
      <c r="C12" s="886"/>
      <c r="F12" s="395"/>
      <c r="G12" s="395"/>
      <c r="H12" s="887"/>
      <c r="I12" s="789"/>
      <c r="J12" s="34"/>
      <c r="L12" s="11"/>
    </row>
    <row r="13" spans="1:15">
      <c r="A13" s="892"/>
      <c r="B13" s="893"/>
      <c r="C13" s="894"/>
      <c r="D13" s="898" t="s">
        <v>71</v>
      </c>
      <c r="E13" s="893"/>
      <c r="F13" s="893"/>
      <c r="G13" s="895"/>
      <c r="H13" s="896"/>
      <c r="I13" s="896"/>
      <c r="J13" s="897"/>
      <c r="K13" s="234"/>
      <c r="L13" s="11"/>
    </row>
    <row r="14" spans="1:15">
      <c r="A14" s="997"/>
      <c r="B14" s="893"/>
      <c r="C14" s="894"/>
      <c r="D14" s="893"/>
      <c r="E14" s="893"/>
      <c r="F14" s="893"/>
      <c r="G14" s="895"/>
      <c r="H14" s="896"/>
      <c r="I14" s="896"/>
      <c r="J14" s="904"/>
      <c r="K14" s="234"/>
      <c r="L14" s="11"/>
    </row>
    <row r="15" spans="1:15">
      <c r="A15" s="997">
        <v>1</v>
      </c>
      <c r="B15" s="896" t="s">
        <v>72</v>
      </c>
      <c r="C15" s="899" t="s">
        <v>73</v>
      </c>
      <c r="D15" s="893" t="s">
        <v>74</v>
      </c>
      <c r="E15" s="895">
        <v>2027804.913253505</v>
      </c>
      <c r="F15" s="895">
        <v>202780.49132535051</v>
      </c>
      <c r="G15" s="895">
        <v>2230585.4045788557</v>
      </c>
      <c r="H15" s="896" t="s">
        <v>72</v>
      </c>
      <c r="I15" s="896">
        <v>12</v>
      </c>
      <c r="J15" s="904">
        <v>26767024.854946271</v>
      </c>
      <c r="K15" s="234"/>
      <c r="L15" s="11"/>
      <c r="N15" s="235"/>
    </row>
    <row r="16" spans="1:15">
      <c r="A16" s="997">
        <v>1</v>
      </c>
      <c r="B16" s="896" t="s">
        <v>72</v>
      </c>
      <c r="C16" s="894" t="s">
        <v>73</v>
      </c>
      <c r="D16" s="893" t="s">
        <v>1074</v>
      </c>
      <c r="E16" s="895">
        <v>1784468.3236630848</v>
      </c>
      <c r="F16" s="895">
        <v>0</v>
      </c>
      <c r="G16" s="895">
        <v>1784468.3236630848</v>
      </c>
      <c r="H16" s="896" t="s">
        <v>72</v>
      </c>
      <c r="I16" s="896">
        <v>12</v>
      </c>
      <c r="J16" s="904">
        <v>21413619.883957017</v>
      </c>
      <c r="K16" s="234"/>
      <c r="L16" s="11"/>
      <c r="N16" s="235"/>
    </row>
    <row r="17" spans="1:14">
      <c r="A17" s="997">
        <v>1</v>
      </c>
      <c r="B17" s="900">
        <v>107</v>
      </c>
      <c r="C17" s="894" t="s">
        <v>75</v>
      </c>
      <c r="D17" s="893" t="s">
        <v>76</v>
      </c>
      <c r="E17" s="895">
        <v>681822.55489378492</v>
      </c>
      <c r="F17" s="895">
        <v>0</v>
      </c>
      <c r="G17" s="895">
        <v>681822.55489378492</v>
      </c>
      <c r="H17" s="896">
        <v>108</v>
      </c>
      <c r="I17" s="896">
        <v>12</v>
      </c>
      <c r="J17" s="904">
        <v>8181870.6587254191</v>
      </c>
      <c r="K17" s="234"/>
      <c r="L17" s="11"/>
      <c r="N17" s="235"/>
    </row>
    <row r="18" spans="1:14">
      <c r="A18" s="997">
        <v>1</v>
      </c>
      <c r="B18" s="900">
        <v>107</v>
      </c>
      <c r="C18" s="899" t="s">
        <v>73</v>
      </c>
      <c r="D18" s="893" t="s">
        <v>1450</v>
      </c>
      <c r="E18" s="895">
        <v>681822.55489378492</v>
      </c>
      <c r="F18" s="895">
        <v>0</v>
      </c>
      <c r="G18" s="895">
        <v>681822.55489378492</v>
      </c>
      <c r="H18" s="896"/>
      <c r="I18" s="896">
        <v>12</v>
      </c>
      <c r="J18" s="904">
        <v>8181870.6587254191</v>
      </c>
      <c r="K18" s="234"/>
      <c r="L18" s="11"/>
      <c r="N18" s="235"/>
    </row>
    <row r="19" spans="1:14">
      <c r="A19" s="997">
        <v>1</v>
      </c>
      <c r="B19" s="900">
        <v>106</v>
      </c>
      <c r="C19" s="899" t="s">
        <v>73</v>
      </c>
      <c r="D19" s="893" t="s">
        <v>77</v>
      </c>
      <c r="E19" s="895">
        <v>467435.53956588422</v>
      </c>
      <c r="F19" s="895">
        <v>0</v>
      </c>
      <c r="G19" s="895">
        <v>467435.53956588422</v>
      </c>
      <c r="H19" s="896">
        <v>107</v>
      </c>
      <c r="I19" s="896">
        <v>12</v>
      </c>
      <c r="J19" s="904">
        <v>5609226.4747906104</v>
      </c>
      <c r="K19" s="234"/>
      <c r="L19" s="11"/>
      <c r="N19" s="235"/>
    </row>
    <row r="20" spans="1:14">
      <c r="A20" s="997">
        <v>1</v>
      </c>
      <c r="B20" s="900">
        <v>105</v>
      </c>
      <c r="C20" s="899" t="s">
        <v>73</v>
      </c>
      <c r="D20" s="893" t="s">
        <v>78</v>
      </c>
      <c r="E20" s="895">
        <v>681822.55489378492</v>
      </c>
      <c r="F20" s="895">
        <v>0</v>
      </c>
      <c r="G20" s="895">
        <v>681822.55489378492</v>
      </c>
      <c r="H20" s="896">
        <v>106</v>
      </c>
      <c r="I20" s="896">
        <v>12</v>
      </c>
      <c r="J20" s="904">
        <v>8181870.6587254191</v>
      </c>
      <c r="K20" s="234"/>
      <c r="L20" s="11"/>
      <c r="N20" s="235"/>
    </row>
    <row r="21" spans="1:14">
      <c r="A21" s="997">
        <v>1</v>
      </c>
      <c r="B21" s="900">
        <v>104</v>
      </c>
      <c r="C21" s="899" t="s">
        <v>73</v>
      </c>
      <c r="D21" s="893" t="s">
        <v>1451</v>
      </c>
      <c r="E21" s="903">
        <v>681822.55489378492</v>
      </c>
      <c r="F21" s="895">
        <v>0</v>
      </c>
      <c r="G21" s="895">
        <v>681822.55489378492</v>
      </c>
      <c r="H21" s="896">
        <v>105</v>
      </c>
      <c r="I21" s="896">
        <v>12</v>
      </c>
      <c r="J21" s="904">
        <v>8181870.6587254191</v>
      </c>
      <c r="K21" s="234"/>
      <c r="L21" s="11"/>
      <c r="N21" s="235"/>
    </row>
    <row r="22" spans="1:14">
      <c r="A22" s="997">
        <v>1</v>
      </c>
      <c r="B22" s="900">
        <v>104</v>
      </c>
      <c r="C22" s="899" t="s">
        <v>73</v>
      </c>
      <c r="D22" s="893" t="s">
        <v>348</v>
      </c>
      <c r="E22" s="903">
        <v>681822.55489378492</v>
      </c>
      <c r="F22" s="895">
        <v>0</v>
      </c>
      <c r="G22" s="895">
        <v>681822.55489378492</v>
      </c>
      <c r="H22" s="896">
        <v>105</v>
      </c>
      <c r="I22" s="896">
        <v>12</v>
      </c>
      <c r="J22" s="904">
        <v>8181870.6587254191</v>
      </c>
      <c r="K22" s="234"/>
      <c r="L22" s="11"/>
      <c r="N22" s="235"/>
    </row>
    <row r="23" spans="1:14">
      <c r="A23" s="997">
        <v>1</v>
      </c>
      <c r="B23" s="900">
        <v>103</v>
      </c>
      <c r="C23" s="899" t="s">
        <v>73</v>
      </c>
      <c r="D23" s="893" t="s">
        <v>1452</v>
      </c>
      <c r="E23" s="895">
        <v>570060.05575048155</v>
      </c>
      <c r="F23" s="895">
        <v>0</v>
      </c>
      <c r="G23" s="895">
        <v>570060.05575048155</v>
      </c>
      <c r="H23" s="896">
        <v>104</v>
      </c>
      <c r="I23" s="896">
        <v>12</v>
      </c>
      <c r="J23" s="904">
        <v>6840720.6690057786</v>
      </c>
      <c r="K23" s="234"/>
      <c r="L23" s="11"/>
      <c r="N23" s="235"/>
    </row>
    <row r="24" spans="1:14">
      <c r="A24" s="997">
        <v>2</v>
      </c>
      <c r="B24" s="900">
        <v>102</v>
      </c>
      <c r="C24" s="899" t="s">
        <v>73</v>
      </c>
      <c r="D24" s="893" t="s">
        <v>1479</v>
      </c>
      <c r="E24" s="895">
        <v>729017.17918598058</v>
      </c>
      <c r="F24" s="895">
        <v>0</v>
      </c>
      <c r="G24" s="895">
        <v>729017.17918598058</v>
      </c>
      <c r="H24" s="896">
        <v>103</v>
      </c>
      <c r="I24" s="896">
        <v>12</v>
      </c>
      <c r="J24" s="904">
        <v>8748206.1502317674</v>
      </c>
      <c r="K24" s="234"/>
      <c r="L24" s="11"/>
      <c r="N24" s="235"/>
    </row>
    <row r="25" spans="1:14">
      <c r="A25" s="997">
        <v>1</v>
      </c>
      <c r="B25" s="900">
        <v>102</v>
      </c>
      <c r="C25" s="899" t="s">
        <v>73</v>
      </c>
      <c r="D25" s="893" t="s">
        <v>509</v>
      </c>
      <c r="E25" s="895">
        <v>570060.05575048155</v>
      </c>
      <c r="F25" s="895">
        <v>0</v>
      </c>
      <c r="G25" s="895">
        <v>570060.05575048155</v>
      </c>
      <c r="H25" s="896"/>
      <c r="I25" s="896">
        <v>12</v>
      </c>
      <c r="J25" s="904">
        <v>6840720.6690057786</v>
      </c>
      <c r="K25" s="234"/>
      <c r="L25" s="11"/>
      <c r="N25" s="235"/>
    </row>
    <row r="26" spans="1:14">
      <c r="A26" s="997">
        <v>1</v>
      </c>
      <c r="B26" s="900">
        <v>102</v>
      </c>
      <c r="C26" s="899" t="s">
        <v>73</v>
      </c>
      <c r="D26" s="893" t="s">
        <v>1270</v>
      </c>
      <c r="E26" s="895">
        <v>570060.05575048155</v>
      </c>
      <c r="F26" s="895">
        <v>0</v>
      </c>
      <c r="G26" s="895">
        <v>570060.05575048155</v>
      </c>
      <c r="H26" s="896"/>
      <c r="I26" s="896">
        <v>12</v>
      </c>
      <c r="J26" s="904">
        <v>6840720.6690057786</v>
      </c>
      <c r="K26" s="234"/>
      <c r="L26" s="11"/>
      <c r="N26" s="235"/>
    </row>
    <row r="27" spans="1:14">
      <c r="A27" s="997">
        <v>1</v>
      </c>
      <c r="B27" s="900">
        <v>101</v>
      </c>
      <c r="C27" s="899" t="s">
        <v>73</v>
      </c>
      <c r="D27" s="893" t="s">
        <v>1121</v>
      </c>
      <c r="E27" s="895">
        <v>325249.91210387426</v>
      </c>
      <c r="F27" s="895">
        <v>0</v>
      </c>
      <c r="G27" s="895">
        <v>325249.91210387426</v>
      </c>
      <c r="H27" s="896"/>
      <c r="I27" s="896">
        <v>12</v>
      </c>
      <c r="J27" s="904">
        <v>3902998.9452464911</v>
      </c>
      <c r="K27" s="234"/>
      <c r="L27" s="11"/>
      <c r="N27" s="235"/>
    </row>
    <row r="28" spans="1:14">
      <c r="A28" s="997">
        <v>3</v>
      </c>
      <c r="B28" s="900">
        <v>102</v>
      </c>
      <c r="C28" s="899" t="s">
        <v>73</v>
      </c>
      <c r="D28" s="893" t="s">
        <v>1453</v>
      </c>
      <c r="E28" s="895">
        <v>1093525.8753034992</v>
      </c>
      <c r="F28" s="895">
        <v>0</v>
      </c>
      <c r="G28" s="895">
        <v>1093525.8753034992</v>
      </c>
      <c r="H28" s="896"/>
      <c r="I28" s="896">
        <v>12</v>
      </c>
      <c r="J28" s="904">
        <v>13122310.503641989</v>
      </c>
      <c r="K28" s="234"/>
      <c r="L28" s="11"/>
      <c r="N28" s="235"/>
    </row>
    <row r="29" spans="1:14">
      <c r="A29" s="997">
        <v>1</v>
      </c>
      <c r="B29" s="900">
        <v>102</v>
      </c>
      <c r="C29" s="899" t="s">
        <v>73</v>
      </c>
      <c r="D29" s="893" t="s">
        <v>1233</v>
      </c>
      <c r="E29" s="895">
        <v>467435.53956588422</v>
      </c>
      <c r="F29" s="895">
        <v>0</v>
      </c>
      <c r="G29" s="895">
        <v>467435.53956588422</v>
      </c>
      <c r="H29" s="896"/>
      <c r="I29" s="896">
        <v>12</v>
      </c>
      <c r="J29" s="904">
        <v>5609226.4747906104</v>
      </c>
      <c r="K29" s="234"/>
      <c r="L29" s="11"/>
      <c r="N29" s="235"/>
    </row>
    <row r="30" spans="1:14">
      <c r="A30" s="997">
        <v>1</v>
      </c>
      <c r="B30" s="900">
        <v>102</v>
      </c>
      <c r="C30" s="899" t="s">
        <v>73</v>
      </c>
      <c r="D30" s="893" t="s">
        <v>1234</v>
      </c>
      <c r="E30" s="895">
        <v>364508.69611751859</v>
      </c>
      <c r="F30" s="895">
        <v>0</v>
      </c>
      <c r="G30" s="895">
        <v>364508.69611751859</v>
      </c>
      <c r="H30" s="896"/>
      <c r="I30" s="896">
        <v>12</v>
      </c>
      <c r="J30" s="904">
        <v>4374104.3534102235</v>
      </c>
      <c r="K30" s="234"/>
      <c r="L30" s="11"/>
      <c r="N30" s="235"/>
    </row>
    <row r="31" spans="1:14">
      <c r="A31" s="997">
        <v>1</v>
      </c>
      <c r="B31" s="900">
        <v>102</v>
      </c>
      <c r="C31" s="899" t="s">
        <v>73</v>
      </c>
      <c r="D31" s="893" t="s">
        <v>1454</v>
      </c>
      <c r="E31" s="895">
        <v>358975.79081271082</v>
      </c>
      <c r="F31" s="895">
        <v>0</v>
      </c>
      <c r="G31" s="895">
        <v>358975.79081271082</v>
      </c>
      <c r="H31" s="896"/>
      <c r="I31" s="896">
        <v>12</v>
      </c>
      <c r="J31" s="904">
        <v>4307709.4897525301</v>
      </c>
      <c r="K31" s="234"/>
      <c r="L31" s="11"/>
      <c r="N31" s="235"/>
    </row>
    <row r="32" spans="1:14">
      <c r="A32" s="997">
        <v>5</v>
      </c>
      <c r="B32" s="900">
        <v>100</v>
      </c>
      <c r="C32" s="899" t="s">
        <v>73</v>
      </c>
      <c r="D32" s="893" t="s">
        <v>1287</v>
      </c>
      <c r="E32" s="895">
        <v>1626249.5605193712</v>
      </c>
      <c r="F32" s="895">
        <v>0</v>
      </c>
      <c r="G32" s="895">
        <v>1626249.5605193712</v>
      </c>
      <c r="H32" s="896"/>
      <c r="I32" s="896">
        <v>12</v>
      </c>
      <c r="J32" s="904">
        <v>19514994.726232454</v>
      </c>
      <c r="K32" s="234"/>
      <c r="L32" s="11"/>
      <c r="M32" s="234"/>
    </row>
    <row r="33" spans="1:14">
      <c r="A33" s="997">
        <v>1</v>
      </c>
      <c r="B33" s="900">
        <v>102</v>
      </c>
      <c r="C33" s="901" t="s">
        <v>73</v>
      </c>
      <c r="D33" s="893" t="s">
        <v>131</v>
      </c>
      <c r="E33" s="895">
        <v>358975.79081271082</v>
      </c>
      <c r="F33" s="895">
        <v>0</v>
      </c>
      <c r="G33" s="895">
        <v>358975.79081271082</v>
      </c>
      <c r="H33" s="896"/>
      <c r="I33" s="896">
        <v>12</v>
      </c>
      <c r="J33" s="904">
        <v>4307709.4897525301</v>
      </c>
      <c r="K33" s="234"/>
      <c r="L33" s="11"/>
    </row>
    <row r="34" spans="1:14">
      <c r="A34" s="997">
        <v>1</v>
      </c>
      <c r="B34" s="900">
        <v>102</v>
      </c>
      <c r="C34" s="901" t="s">
        <v>73</v>
      </c>
      <c r="D34" s="893" t="s">
        <v>1455</v>
      </c>
      <c r="E34" s="895">
        <v>570060.05575048155</v>
      </c>
      <c r="F34" s="895">
        <v>0</v>
      </c>
      <c r="G34" s="895">
        <v>570060.05575048155</v>
      </c>
      <c r="H34" s="896"/>
      <c r="I34" s="896">
        <v>12</v>
      </c>
      <c r="J34" s="904">
        <v>6840720.6690057786</v>
      </c>
      <c r="K34" s="234"/>
      <c r="L34" s="11"/>
    </row>
    <row r="35" spans="1:14">
      <c r="A35" s="997">
        <v>1</v>
      </c>
      <c r="B35" s="900">
        <v>102</v>
      </c>
      <c r="C35" s="901" t="s">
        <v>73</v>
      </c>
      <c r="D35" s="893" t="s">
        <v>349</v>
      </c>
      <c r="E35" s="895">
        <v>570060.05575048155</v>
      </c>
      <c r="F35" s="895">
        <v>0</v>
      </c>
      <c r="G35" s="895">
        <v>570060.05575048155</v>
      </c>
      <c r="H35" s="896"/>
      <c r="I35" s="896">
        <v>12</v>
      </c>
      <c r="J35" s="904">
        <v>6840720.6690057786</v>
      </c>
      <c r="K35" s="234"/>
      <c r="L35" s="11"/>
    </row>
    <row r="36" spans="1:14">
      <c r="A36" s="997">
        <v>1</v>
      </c>
      <c r="B36" s="900">
        <v>102</v>
      </c>
      <c r="C36" s="901" t="s">
        <v>73</v>
      </c>
      <c r="D36" s="893" t="s">
        <v>350</v>
      </c>
      <c r="E36" s="895">
        <v>364508.69611751859</v>
      </c>
      <c r="F36" s="895">
        <v>0</v>
      </c>
      <c r="G36" s="895">
        <v>364508.69611751859</v>
      </c>
      <c r="H36" s="896"/>
      <c r="I36" s="896">
        <v>12</v>
      </c>
      <c r="J36" s="904">
        <v>4374104.3534102235</v>
      </c>
      <c r="K36" s="234"/>
      <c r="L36" s="11"/>
      <c r="N36" s="235"/>
    </row>
    <row r="37" spans="1:14">
      <c r="A37" s="997">
        <v>1</v>
      </c>
      <c r="B37" s="900">
        <v>102</v>
      </c>
      <c r="C37" s="901" t="s">
        <v>73</v>
      </c>
      <c r="D37" s="893" t="s">
        <v>1245</v>
      </c>
      <c r="E37" s="895">
        <v>681822.55489378492</v>
      </c>
      <c r="F37" s="895">
        <v>0</v>
      </c>
      <c r="G37" s="895">
        <v>681822.55489378492</v>
      </c>
      <c r="H37" s="896"/>
      <c r="I37" s="896">
        <v>12</v>
      </c>
      <c r="J37" s="904">
        <v>8181870.6587254191</v>
      </c>
      <c r="K37" s="234"/>
      <c r="L37" s="11"/>
      <c r="N37" s="235"/>
    </row>
    <row r="38" spans="1:14">
      <c r="A38" s="997">
        <v>1</v>
      </c>
      <c r="B38" s="900">
        <v>102</v>
      </c>
      <c r="C38" s="901" t="s">
        <v>73</v>
      </c>
      <c r="D38" s="893" t="s">
        <v>1456</v>
      </c>
      <c r="E38" s="895">
        <v>364508.69611751859</v>
      </c>
      <c r="F38" s="895">
        <v>0</v>
      </c>
      <c r="G38" s="895">
        <v>364508.69611751859</v>
      </c>
      <c r="H38" s="896"/>
      <c r="I38" s="896">
        <v>12</v>
      </c>
      <c r="J38" s="904">
        <v>4374104.3534102235</v>
      </c>
      <c r="K38" s="234"/>
      <c r="L38" s="11"/>
      <c r="N38" s="235"/>
    </row>
    <row r="39" spans="1:14">
      <c r="A39" s="997">
        <v>1</v>
      </c>
      <c r="B39" s="900">
        <v>102</v>
      </c>
      <c r="C39" s="894" t="s">
        <v>73</v>
      </c>
      <c r="D39" s="893" t="s">
        <v>1457</v>
      </c>
      <c r="E39" s="895">
        <v>570060.05575048155</v>
      </c>
      <c r="F39" s="895">
        <v>0</v>
      </c>
      <c r="G39" s="895">
        <v>570060.05575048155</v>
      </c>
      <c r="H39" s="896"/>
      <c r="I39" s="896">
        <v>12</v>
      </c>
      <c r="J39" s="904">
        <v>6840720.6690057786</v>
      </c>
      <c r="K39" s="234"/>
      <c r="L39" s="11"/>
    </row>
    <row r="40" spans="1:14">
      <c r="A40" s="997">
        <v>2</v>
      </c>
      <c r="B40" s="900">
        <v>102</v>
      </c>
      <c r="C40" s="894" t="s">
        <v>73</v>
      </c>
      <c r="D40" s="893" t="s">
        <v>1458</v>
      </c>
      <c r="E40" s="895">
        <v>729017.39223503717</v>
      </c>
      <c r="F40" s="895">
        <v>0</v>
      </c>
      <c r="G40" s="895">
        <v>729017.39223503717</v>
      </c>
      <c r="H40" s="896"/>
      <c r="I40" s="896">
        <v>12</v>
      </c>
      <c r="J40" s="904">
        <v>8748208.706820447</v>
      </c>
      <c r="K40" s="234"/>
      <c r="L40" s="11"/>
    </row>
    <row r="41" spans="1:14">
      <c r="A41" s="997">
        <v>2</v>
      </c>
      <c r="B41" s="900">
        <v>102</v>
      </c>
      <c r="C41" s="894" t="s">
        <v>73</v>
      </c>
      <c r="D41" s="893" t="s">
        <v>1459</v>
      </c>
      <c r="E41" s="895">
        <v>842727.17339999997</v>
      </c>
      <c r="F41" s="895">
        <v>0</v>
      </c>
      <c r="G41" s="895">
        <v>842727.17339999997</v>
      </c>
      <c r="H41" s="896"/>
      <c r="I41" s="896">
        <v>12</v>
      </c>
      <c r="J41" s="904">
        <v>10112726.080800001</v>
      </c>
      <c r="K41" s="234"/>
      <c r="L41" s="11"/>
    </row>
    <row r="42" spans="1:14" ht="12.75" thickBot="1">
      <c r="A42" s="998"/>
      <c r="B42" s="896"/>
      <c r="C42" s="899"/>
      <c r="D42" s="893"/>
      <c r="E42" s="895"/>
      <c r="F42" s="895"/>
      <c r="G42" s="895"/>
      <c r="H42" s="896"/>
      <c r="I42" s="896"/>
      <c r="J42" s="897"/>
      <c r="K42" s="234"/>
      <c r="L42" s="11"/>
      <c r="N42" s="235"/>
    </row>
    <row r="43" spans="1:14" ht="12.75" thickTop="1">
      <c r="A43" s="892">
        <v>36</v>
      </c>
      <c r="B43" s="896"/>
      <c r="C43" s="893"/>
      <c r="D43" s="893"/>
      <c r="E43" s="898" t="s">
        <v>79</v>
      </c>
      <c r="F43" s="893"/>
      <c r="G43" s="895"/>
      <c r="H43" s="895"/>
      <c r="I43" s="893"/>
      <c r="J43" s="902">
        <v>235421822.80758056</v>
      </c>
      <c r="K43" s="231"/>
      <c r="L43" s="11"/>
      <c r="M43" s="231"/>
      <c r="N43" s="890"/>
    </row>
    <row r="44" spans="1:14">
      <c r="A44" s="36"/>
      <c r="E44" s="38"/>
      <c r="G44" s="395"/>
      <c r="H44" s="395"/>
      <c r="J44" s="37"/>
      <c r="K44" s="231"/>
      <c r="L44" s="11"/>
      <c r="N44" s="235"/>
    </row>
    <row r="45" spans="1:14">
      <c r="A45" s="36"/>
      <c r="D45" s="38"/>
      <c r="E45" s="38"/>
      <c r="G45" s="395"/>
      <c r="H45" s="395"/>
      <c r="J45" s="37"/>
      <c r="K45" s="231"/>
      <c r="L45" s="11"/>
    </row>
    <row r="46" spans="1:14">
      <c r="A46" s="36"/>
      <c r="D46" s="38" t="s">
        <v>1149</v>
      </c>
      <c r="E46" s="38"/>
      <c r="G46" s="395"/>
      <c r="H46" s="395"/>
      <c r="J46" s="37"/>
      <c r="K46" s="231"/>
      <c r="L46" s="11"/>
    </row>
    <row r="47" spans="1:14">
      <c r="A47" s="32"/>
      <c r="E47" s="395"/>
      <c r="F47" s="395"/>
      <c r="G47" s="395"/>
      <c r="H47" s="789"/>
      <c r="I47" s="789"/>
      <c r="J47" s="34"/>
      <c r="K47" s="231"/>
      <c r="L47" s="35"/>
      <c r="M47" s="231"/>
    </row>
    <row r="48" spans="1:14">
      <c r="A48" s="32">
        <v>5</v>
      </c>
      <c r="B48" s="11">
        <v>102</v>
      </c>
      <c r="C48" s="11">
        <v>8</v>
      </c>
      <c r="D48" s="11" t="s">
        <v>1285</v>
      </c>
      <c r="E48" s="395">
        <f>+[2]General!$O$67</f>
        <v>325249.91210387426</v>
      </c>
      <c r="F48" s="395">
        <v>0</v>
      </c>
      <c r="G48" s="395">
        <f>+E48</f>
        <v>325249.91210387426</v>
      </c>
      <c r="H48" s="789"/>
      <c r="I48" s="789">
        <v>12</v>
      </c>
      <c r="J48" s="34">
        <f>+A48*G48*I48</f>
        <v>19514994.726232454</v>
      </c>
      <c r="K48" s="231"/>
      <c r="L48" s="35"/>
      <c r="M48" s="231"/>
      <c r="N48" s="890"/>
    </row>
    <row r="49" spans="1:14">
      <c r="A49" s="32">
        <v>1</v>
      </c>
      <c r="B49" s="11">
        <v>102</v>
      </c>
      <c r="C49" s="11">
        <v>8</v>
      </c>
      <c r="D49" s="11" t="s">
        <v>1460</v>
      </c>
      <c r="E49" s="395">
        <f>+[2]General!$O$68</f>
        <v>364508.58959299029</v>
      </c>
      <c r="F49" s="395">
        <v>0</v>
      </c>
      <c r="G49" s="395">
        <f>+E49</f>
        <v>364508.58959299029</v>
      </c>
      <c r="H49" s="789"/>
      <c r="I49" s="789">
        <v>12</v>
      </c>
      <c r="J49" s="34">
        <f t="shared" ref="J49:J50" si="0">+A49*G49*I49</f>
        <v>4374103.0751158837</v>
      </c>
      <c r="K49" s="231"/>
      <c r="L49" s="35"/>
      <c r="M49" s="231"/>
      <c r="N49" s="890"/>
    </row>
    <row r="50" spans="1:14">
      <c r="A50" s="32">
        <v>1</v>
      </c>
      <c r="C50" s="11">
        <v>8</v>
      </c>
      <c r="D50" s="11" t="s">
        <v>1456</v>
      </c>
      <c r="E50" s="395">
        <f>+[2]General!$O$69</f>
        <v>364508.69611751859</v>
      </c>
      <c r="F50" s="395">
        <v>0</v>
      </c>
      <c r="G50" s="395">
        <f>+E50</f>
        <v>364508.69611751859</v>
      </c>
      <c r="H50" s="789"/>
      <c r="I50" s="789">
        <v>12</v>
      </c>
      <c r="J50" s="34">
        <f t="shared" si="0"/>
        <v>4374104.3534102235</v>
      </c>
      <c r="K50" s="231"/>
      <c r="L50" s="35"/>
      <c r="M50" s="231"/>
      <c r="N50" s="890"/>
    </row>
    <row r="51" spans="1:14" ht="12.75" thickBot="1">
      <c r="A51" s="533"/>
      <c r="E51" s="38"/>
      <c r="G51" s="395"/>
      <c r="H51" s="395"/>
      <c r="J51" s="37"/>
      <c r="K51" s="231"/>
      <c r="L51" s="35"/>
      <c r="M51" s="231"/>
    </row>
    <row r="52" spans="1:14" ht="12.75" thickTop="1">
      <c r="A52" s="32">
        <f>SUM(A48:A51)</f>
        <v>7</v>
      </c>
      <c r="E52" s="171"/>
      <c r="G52" s="395"/>
      <c r="H52" s="395"/>
      <c r="J52" s="37">
        <f>SUM(J48:J51)</f>
        <v>28263202.154758558</v>
      </c>
      <c r="K52" s="231"/>
      <c r="L52" s="35"/>
      <c r="M52" s="231">
        <f>+A43+'Relacion de Puestos Vial'!A28</f>
        <v>59</v>
      </c>
    </row>
    <row r="53" spans="1:14">
      <c r="A53" s="36"/>
      <c r="E53" s="38"/>
      <c r="G53" s="395"/>
      <c r="H53" s="395"/>
      <c r="J53" s="37"/>
      <c r="K53" s="231"/>
      <c r="L53" s="35"/>
      <c r="M53" s="231">
        <f>+A52+'Relacion de Puestos Vial'!A39+'Relacion de puestos CECCUDI'!A24</f>
        <v>30</v>
      </c>
    </row>
    <row r="54" spans="1:14">
      <c r="A54" s="32"/>
      <c r="E54" s="38"/>
      <c r="G54" s="395"/>
      <c r="H54" s="395"/>
      <c r="J54" s="34"/>
      <c r="K54" s="232"/>
      <c r="L54" s="35"/>
      <c r="M54" s="231"/>
    </row>
    <row r="55" spans="1:14" ht="12.75" thickBot="1">
      <c r="A55" s="36"/>
      <c r="B55" s="39"/>
      <c r="E55" s="38"/>
      <c r="G55" s="395"/>
      <c r="H55" s="395"/>
      <c r="J55" s="262"/>
      <c r="K55" s="232"/>
      <c r="L55" s="35"/>
      <c r="M55" s="231"/>
    </row>
    <row r="56" spans="1:14" ht="12.75" thickBot="1">
      <c r="A56" s="40">
        <f>+A43+A52</f>
        <v>43</v>
      </c>
      <c r="B56" s="41" t="s">
        <v>80</v>
      </c>
      <c r="C56" s="42"/>
      <c r="D56" s="42"/>
      <c r="E56" s="42"/>
      <c r="F56" s="42"/>
      <c r="G56" s="42"/>
      <c r="H56" s="42"/>
      <c r="I56" s="42"/>
      <c r="J56" s="43"/>
      <c r="K56" s="231"/>
      <c r="L56" s="35"/>
      <c r="M56" s="231"/>
    </row>
    <row r="57" spans="1:14">
      <c r="A57" s="146"/>
      <c r="B57" s="38"/>
      <c r="K57" s="231"/>
    </row>
    <row r="58" spans="1:14">
      <c r="J58" s="235"/>
      <c r="K58" s="231"/>
    </row>
    <row r="59" spans="1:14" ht="15.75" customHeight="1" thickBot="1">
      <c r="A59" s="44" t="s">
        <v>81</v>
      </c>
      <c r="E59" s="395"/>
      <c r="K59" s="231"/>
    </row>
    <row r="60" spans="1:14" ht="15" customHeight="1" thickBot="1">
      <c r="A60" s="38"/>
      <c r="I60" s="1069" t="s">
        <v>82</v>
      </c>
      <c r="J60" s="1070"/>
      <c r="K60" s="231"/>
    </row>
    <row r="61" spans="1:14" ht="15.75" customHeight="1">
      <c r="B61" s="1079" t="s">
        <v>1235</v>
      </c>
      <c r="C61" s="1080"/>
      <c r="D61" s="1080"/>
      <c r="E61" s="1080"/>
      <c r="F61" s="1080"/>
      <c r="G61" s="1080"/>
      <c r="H61" s="1081"/>
      <c r="I61" s="1084">
        <v>67832585.052955568</v>
      </c>
      <c r="J61" s="1084"/>
      <c r="K61" s="231"/>
    </row>
    <row r="62" spans="1:14" ht="15.75" customHeight="1">
      <c r="B62" s="45" t="s">
        <v>83</v>
      </c>
      <c r="C62" s="46"/>
      <c r="D62" s="46"/>
      <c r="E62" s="46"/>
      <c r="F62" s="46"/>
      <c r="G62" s="46"/>
      <c r="H62" s="46"/>
      <c r="I62" s="1082">
        <v>47227916.824708343</v>
      </c>
      <c r="J62" s="1083"/>
      <c r="K62" s="233"/>
    </row>
    <row r="63" spans="1:14" ht="15.75" customHeight="1">
      <c r="B63" s="1079" t="s">
        <v>84</v>
      </c>
      <c r="C63" s="1080"/>
      <c r="D63" s="1080"/>
      <c r="E63" s="1080"/>
      <c r="F63" s="1080"/>
      <c r="G63" s="1080"/>
      <c r="H63" s="1081"/>
      <c r="I63" s="1082">
        <f>+'Distribucion Programas I'!F28+'Distribucion Programas II '!Q30</f>
        <v>37205076.491793588</v>
      </c>
      <c r="J63" s="1083"/>
      <c r="K63" s="233"/>
    </row>
    <row r="64" spans="1:14" ht="15.75" customHeight="1">
      <c r="B64" s="1079" t="s">
        <v>85</v>
      </c>
      <c r="C64" s="1080"/>
      <c r="D64" s="1080"/>
      <c r="E64" s="1080"/>
      <c r="F64" s="1080"/>
      <c r="G64" s="1080"/>
      <c r="H64" s="1081"/>
      <c r="I64" s="1085">
        <v>0</v>
      </c>
      <c r="J64" s="1086"/>
      <c r="K64" s="233"/>
    </row>
    <row r="65" spans="1:11" ht="15.75" customHeight="1">
      <c r="B65" s="1074" t="s">
        <v>86</v>
      </c>
      <c r="C65" s="1075"/>
      <c r="D65" s="1075"/>
      <c r="E65" s="1075"/>
      <c r="F65" s="1075"/>
      <c r="G65" s="1075"/>
      <c r="H65" s="1076"/>
      <c r="I65" s="1077">
        <v>0</v>
      </c>
      <c r="J65" s="1078"/>
      <c r="K65" s="233"/>
    </row>
    <row r="66" spans="1:11" ht="15.75" customHeight="1">
      <c r="B66" s="888"/>
      <c r="C66" s="888"/>
      <c r="D66" s="888"/>
      <c r="E66" s="888"/>
      <c r="F66" s="888"/>
      <c r="G66" s="888"/>
      <c r="H66" s="888"/>
      <c r="I66" s="887"/>
      <c r="J66" s="887"/>
      <c r="K66" s="233"/>
    </row>
    <row r="67" spans="1:11" ht="15.75" customHeight="1">
      <c r="A67" s="54" t="s">
        <v>1461</v>
      </c>
      <c r="B67" s="888"/>
      <c r="C67" s="888"/>
      <c r="D67" s="888"/>
      <c r="E67" s="888"/>
      <c r="F67" s="888"/>
      <c r="G67" s="888"/>
      <c r="H67" s="888"/>
      <c r="I67" s="887"/>
      <c r="J67" s="887"/>
      <c r="K67" s="233"/>
    </row>
    <row r="68" spans="1:11" ht="15.75" customHeight="1">
      <c r="A68" s="54" t="s">
        <v>1462</v>
      </c>
      <c r="B68" s="888"/>
      <c r="C68" s="888"/>
      <c r="D68" s="888"/>
      <c r="E68" s="888"/>
      <c r="F68" s="888"/>
      <c r="G68" s="888"/>
      <c r="H68" s="888"/>
      <c r="I68" s="887"/>
      <c r="J68" s="887"/>
      <c r="K68" s="233"/>
    </row>
    <row r="69" spans="1:11" ht="15.75" customHeight="1">
      <c r="B69" s="888"/>
      <c r="C69" s="888"/>
      <c r="D69" s="888"/>
      <c r="E69" s="888"/>
      <c r="F69" s="888"/>
      <c r="G69" s="888"/>
      <c r="H69" s="888"/>
      <c r="I69" s="887"/>
      <c r="J69" s="887"/>
      <c r="K69" s="233"/>
    </row>
    <row r="70" spans="1:11" ht="15.75" customHeight="1">
      <c r="B70" s="47"/>
      <c r="C70" s="47"/>
      <c r="D70" s="47"/>
      <c r="E70" s="47"/>
      <c r="F70" s="47"/>
      <c r="G70" s="47"/>
      <c r="H70" s="47"/>
      <c r="I70" s="48"/>
      <c r="J70" s="48"/>
      <c r="K70" s="233"/>
    </row>
    <row r="71" spans="1:11">
      <c r="B71" s="47"/>
      <c r="C71" s="47"/>
      <c r="D71" s="47"/>
      <c r="E71" s="47"/>
      <c r="F71" s="47"/>
      <c r="G71" s="47"/>
      <c r="H71" s="47"/>
      <c r="I71" s="48"/>
      <c r="J71" s="48"/>
    </row>
    <row r="72" spans="1:11">
      <c r="B72" s="47"/>
      <c r="C72" s="47"/>
      <c r="D72" s="47"/>
      <c r="E72" s="47"/>
      <c r="F72" s="47"/>
      <c r="G72" s="47"/>
      <c r="H72" s="47"/>
      <c r="I72" s="48"/>
      <c r="J72" s="48"/>
    </row>
    <row r="73" spans="1:11" ht="12.75">
      <c r="A73" s="49"/>
      <c r="B73" s="47"/>
      <c r="C73" s="47"/>
      <c r="D73" s="47"/>
      <c r="E73" s="47"/>
      <c r="F73" s="47"/>
      <c r="G73" s="47"/>
      <c r="H73" s="47"/>
      <c r="I73" s="48"/>
      <c r="J73" s="48"/>
    </row>
    <row r="74" spans="1:11" ht="12.75">
      <c r="A74" s="49"/>
      <c r="B74" s="47"/>
      <c r="C74" s="47"/>
      <c r="D74" s="47"/>
      <c r="E74" s="47"/>
      <c r="F74" s="47"/>
      <c r="G74" s="47"/>
      <c r="H74" s="47"/>
      <c r="I74" s="48"/>
      <c r="J74" s="48"/>
    </row>
  </sheetData>
  <mergeCells count="15">
    <mergeCell ref="B65:H65"/>
    <mergeCell ref="I65:J65"/>
    <mergeCell ref="B63:H63"/>
    <mergeCell ref="B61:H61"/>
    <mergeCell ref="I62:J62"/>
    <mergeCell ref="I61:J61"/>
    <mergeCell ref="I63:J63"/>
    <mergeCell ref="B64:H64"/>
    <mergeCell ref="I64:J64"/>
    <mergeCell ref="A2:J2"/>
    <mergeCell ref="A3:J3"/>
    <mergeCell ref="A4:J4"/>
    <mergeCell ref="A5:J5"/>
    <mergeCell ref="I60:J60"/>
    <mergeCell ref="A7:A10"/>
  </mergeCells>
  <phoneticPr fontId="3" type="noConversion"/>
  <pageMargins left="0.19685039370078741" right="0.19685039370078741" top="0.39370078740157483" bottom="0.39370078740157483" header="0" footer="0"/>
  <pageSetup scale="85" orientation="portrait" horizontalDpi="4294967294" verticalDpi="144" r:id="rId1"/>
  <headerFooter alignWithMargins="0">
    <oddFooter>&amp;L&amp;8&amp;Z&amp;F</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O101"/>
  <sheetViews>
    <sheetView workbookViewId="0">
      <selection activeCell="J1" sqref="J1"/>
    </sheetView>
  </sheetViews>
  <sheetFormatPr baseColWidth="10" defaultColWidth="11.5703125" defaultRowHeight="12"/>
  <cols>
    <col min="1" max="1" width="7.7109375" style="11" customWidth="1"/>
    <col min="2" max="3" width="7.5703125" style="11" customWidth="1"/>
    <col min="4" max="4" width="33.28515625" style="11" customWidth="1"/>
    <col min="5" max="5" width="12.5703125" style="11" customWidth="1"/>
    <col min="6" max="6" width="11.42578125" style="11" customWidth="1"/>
    <col min="7" max="7" width="11.5703125" style="11" customWidth="1"/>
    <col min="8" max="8" width="7.85546875" style="11" customWidth="1"/>
    <col min="9" max="9" width="6.7109375" style="11" customWidth="1"/>
    <col min="10" max="10" width="13.28515625" style="11" customWidth="1"/>
    <col min="11" max="11" width="15.7109375" style="194" customWidth="1"/>
    <col min="12" max="12" width="2.5703125" style="13" customWidth="1"/>
    <col min="13" max="13" width="17" style="11" customWidth="1"/>
    <col min="14" max="15" width="15.42578125" style="11" bestFit="1" customWidth="1"/>
    <col min="16" max="16384" width="11.5703125" style="11"/>
  </cols>
  <sheetData>
    <row r="1" spans="1:13" customFormat="1" ht="12.75">
      <c r="A1" s="57"/>
      <c r="B1" s="10"/>
      <c r="C1" s="10"/>
      <c r="D1" s="10"/>
      <c r="E1" s="10"/>
      <c r="F1" s="10"/>
      <c r="G1" s="10"/>
      <c r="H1" s="10"/>
      <c r="I1" s="10"/>
      <c r="J1" s="247">
        <v>13</v>
      </c>
      <c r="K1" s="443"/>
      <c r="L1" s="10"/>
    </row>
    <row r="2" spans="1:13" customFormat="1" ht="12.75">
      <c r="A2" s="1025" t="s">
        <v>199</v>
      </c>
      <c r="B2" s="1025"/>
      <c r="C2" s="1025"/>
      <c r="D2" s="1025"/>
      <c r="E2" s="1025"/>
      <c r="F2" s="1025"/>
      <c r="G2" s="1025"/>
      <c r="H2" s="1025"/>
      <c r="I2" s="1025"/>
      <c r="J2" s="1025"/>
      <c r="K2" s="788"/>
      <c r="L2" s="10"/>
    </row>
    <row r="3" spans="1:13" customFormat="1" ht="12.75">
      <c r="A3" s="1025" t="s">
        <v>1350</v>
      </c>
      <c r="B3" s="1025"/>
      <c r="C3" s="1025"/>
      <c r="D3" s="1025"/>
      <c r="E3" s="1025"/>
      <c r="F3" s="1025"/>
      <c r="G3" s="1025"/>
      <c r="H3" s="1025"/>
      <c r="I3" s="1025"/>
      <c r="J3" s="1025"/>
      <c r="K3" s="788"/>
      <c r="L3" s="10"/>
    </row>
    <row r="4" spans="1:13" ht="12.75">
      <c r="A4" s="1025" t="s">
        <v>50</v>
      </c>
      <c r="B4" s="1025"/>
      <c r="C4" s="1025"/>
      <c r="D4" s="1025"/>
      <c r="E4" s="1025"/>
      <c r="F4" s="1025"/>
      <c r="G4" s="1025"/>
      <c r="H4" s="1025"/>
      <c r="I4" s="1025"/>
      <c r="J4" s="1025"/>
      <c r="K4" s="230"/>
      <c r="L4" s="12"/>
    </row>
    <row r="5" spans="1:13" ht="12.75">
      <c r="A5" s="1025" t="s">
        <v>51</v>
      </c>
      <c r="B5" s="1025"/>
      <c r="C5" s="1025"/>
      <c r="D5" s="1025"/>
      <c r="E5" s="1025"/>
      <c r="F5" s="1025"/>
      <c r="G5" s="1025"/>
      <c r="H5" s="1025"/>
      <c r="I5" s="1025"/>
      <c r="J5" s="1025"/>
    </row>
    <row r="6" spans="1:13" ht="12.75">
      <c r="A6" s="884"/>
    </row>
    <row r="7" spans="1:13" ht="12.75" customHeight="1">
      <c r="A7" s="1071" t="s">
        <v>52</v>
      </c>
      <c r="B7" s="14" t="s">
        <v>53</v>
      </c>
      <c r="C7" s="15"/>
      <c r="D7" s="16"/>
      <c r="E7" s="17" t="s">
        <v>54</v>
      </c>
      <c r="F7" s="17" t="s">
        <v>55</v>
      </c>
      <c r="G7" s="14" t="s">
        <v>56</v>
      </c>
      <c r="H7" s="17" t="s">
        <v>53</v>
      </c>
      <c r="I7" s="14" t="s">
        <v>57</v>
      </c>
      <c r="J7" s="17" t="s">
        <v>1022</v>
      </c>
      <c r="L7" s="11"/>
    </row>
    <row r="8" spans="1:13" ht="12" customHeight="1">
      <c r="A8" s="1087"/>
      <c r="B8" s="146" t="s">
        <v>58</v>
      </c>
      <c r="C8" s="18" t="s">
        <v>59</v>
      </c>
      <c r="D8" s="19" t="s">
        <v>60</v>
      </c>
      <c r="E8" s="20" t="s">
        <v>61</v>
      </c>
      <c r="F8" s="20" t="s">
        <v>62</v>
      </c>
      <c r="G8" s="146" t="s">
        <v>61</v>
      </c>
      <c r="H8" s="20" t="s">
        <v>383</v>
      </c>
      <c r="I8" s="146">
        <v>0</v>
      </c>
      <c r="J8" s="20" t="s">
        <v>64</v>
      </c>
      <c r="L8" s="11"/>
    </row>
    <row r="9" spans="1:13" ht="12" customHeight="1">
      <c r="A9" s="1087"/>
      <c r="B9" s="146"/>
      <c r="C9" s="19" t="s">
        <v>65</v>
      </c>
      <c r="D9" s="19" t="s">
        <v>66</v>
      </c>
      <c r="E9" s="20" t="s">
        <v>58</v>
      </c>
      <c r="F9" s="20" t="s">
        <v>61</v>
      </c>
      <c r="G9" s="146" t="s">
        <v>383</v>
      </c>
      <c r="H9" s="20" t="s">
        <v>384</v>
      </c>
      <c r="I9" s="146" t="s">
        <v>386</v>
      </c>
      <c r="J9" s="20" t="s">
        <v>69</v>
      </c>
      <c r="L9" s="11"/>
    </row>
    <row r="10" spans="1:13" ht="12" customHeight="1">
      <c r="A10" s="1088"/>
      <c r="B10" s="21"/>
      <c r="C10" s="22"/>
      <c r="D10" s="23"/>
      <c r="E10" s="24"/>
      <c r="F10" s="25" t="s">
        <v>70</v>
      </c>
      <c r="G10" s="21" t="s">
        <v>387</v>
      </c>
      <c r="H10" s="24"/>
      <c r="I10" s="21" t="s">
        <v>385</v>
      </c>
      <c r="J10" s="20"/>
      <c r="L10" s="11"/>
    </row>
    <row r="11" spans="1:13">
      <c r="A11" s="26"/>
      <c r="B11" s="27"/>
      <c r="C11" s="28"/>
      <c r="D11" s="27"/>
      <c r="E11" s="27"/>
      <c r="F11" s="27"/>
      <c r="G11" s="29"/>
      <c r="H11" s="30"/>
      <c r="I11" s="30"/>
      <c r="J11" s="31"/>
      <c r="L11" s="11"/>
    </row>
    <row r="12" spans="1:13">
      <c r="A12" s="32"/>
      <c r="E12" s="38"/>
      <c r="G12" s="395"/>
      <c r="H12" s="395"/>
      <c r="J12" s="36"/>
      <c r="K12" s="232"/>
      <c r="L12" s="35"/>
      <c r="M12" s="33"/>
    </row>
    <row r="13" spans="1:13">
      <c r="A13" s="32"/>
      <c r="D13" s="38" t="s">
        <v>71</v>
      </c>
      <c r="E13" s="38"/>
      <c r="F13" s="231"/>
      <c r="G13" s="395"/>
      <c r="H13" s="395"/>
      <c r="J13" s="36"/>
      <c r="K13" s="232"/>
      <c r="L13" s="35"/>
      <c r="M13" s="33"/>
    </row>
    <row r="14" spans="1:13">
      <c r="A14" s="32"/>
      <c r="E14" s="38"/>
      <c r="G14" s="395"/>
      <c r="H14" s="395"/>
      <c r="J14" s="36"/>
      <c r="K14" s="232"/>
      <c r="L14" s="35"/>
      <c r="M14" s="33"/>
    </row>
    <row r="15" spans="1:13">
      <c r="A15" s="789">
        <v>1</v>
      </c>
      <c r="B15" s="263">
        <v>105</v>
      </c>
      <c r="C15" s="11">
        <v>8</v>
      </c>
      <c r="D15" s="868" t="s">
        <v>1463</v>
      </c>
      <c r="E15" s="231">
        <v>681822.55489378492</v>
      </c>
      <c r="F15" s="887">
        <v>0</v>
      </c>
      <c r="G15" s="395">
        <f>+E15</f>
        <v>681822.55489378492</v>
      </c>
      <c r="H15" s="789">
        <v>105</v>
      </c>
      <c r="I15" s="11">
        <v>12</v>
      </c>
      <c r="J15" s="34">
        <f>+G15*I15</f>
        <v>8181870.6587254191</v>
      </c>
      <c r="K15" s="232"/>
      <c r="L15" s="35"/>
      <c r="M15" s="199"/>
    </row>
    <row r="16" spans="1:13">
      <c r="A16" s="789">
        <v>1</v>
      </c>
      <c r="B16" s="263">
        <v>105</v>
      </c>
      <c r="C16" s="11">
        <v>8</v>
      </c>
      <c r="D16" s="868" t="s">
        <v>1464</v>
      </c>
      <c r="E16" s="231">
        <v>681822.55489378492</v>
      </c>
      <c r="F16" s="887">
        <v>0</v>
      </c>
      <c r="G16" s="395">
        <f t="shared" ref="G16:G26" si="0">+E16</f>
        <v>681822.55489378492</v>
      </c>
      <c r="H16" s="789">
        <v>105</v>
      </c>
      <c r="I16" s="11">
        <v>12</v>
      </c>
      <c r="J16" s="34">
        <f t="shared" ref="J16:J27" si="1">+G16*I16</f>
        <v>8181870.6587254191</v>
      </c>
      <c r="K16" s="232"/>
      <c r="L16" s="35"/>
      <c r="M16" s="199"/>
    </row>
    <row r="17" spans="1:13">
      <c r="A17" s="789">
        <v>1</v>
      </c>
      <c r="B17" s="263">
        <v>105</v>
      </c>
      <c r="C17" s="11">
        <v>8</v>
      </c>
      <c r="D17" s="868" t="s">
        <v>1465</v>
      </c>
      <c r="E17" s="231">
        <v>570060.05575048155</v>
      </c>
      <c r="F17" s="887">
        <v>0</v>
      </c>
      <c r="G17" s="395">
        <f>+E17</f>
        <v>570060.05575048155</v>
      </c>
      <c r="H17" s="789">
        <v>105</v>
      </c>
      <c r="I17" s="11">
        <v>12</v>
      </c>
      <c r="J17" s="34">
        <f t="shared" si="1"/>
        <v>6840720.6690057786</v>
      </c>
      <c r="K17" s="232"/>
      <c r="L17" s="35"/>
      <c r="M17" s="199"/>
    </row>
    <row r="18" spans="1:13" ht="13.5" customHeight="1">
      <c r="A18" s="789">
        <v>1</v>
      </c>
      <c r="B18" s="263">
        <v>107</v>
      </c>
      <c r="C18" s="11">
        <v>8</v>
      </c>
      <c r="D18" s="59" t="s">
        <v>382</v>
      </c>
      <c r="E18" s="231">
        <v>467435.53956588422</v>
      </c>
      <c r="F18" s="887">
        <v>0</v>
      </c>
      <c r="G18" s="395">
        <f t="shared" si="0"/>
        <v>467435.53956588422</v>
      </c>
      <c r="H18" s="789">
        <v>107</v>
      </c>
      <c r="I18" s="11">
        <v>12</v>
      </c>
      <c r="J18" s="34">
        <f t="shared" si="1"/>
        <v>5609226.4747906104</v>
      </c>
      <c r="K18" s="232"/>
      <c r="L18" s="35"/>
      <c r="M18" s="199"/>
    </row>
    <row r="19" spans="1:13">
      <c r="A19" s="789">
        <v>1</v>
      </c>
      <c r="B19" s="263">
        <v>106</v>
      </c>
      <c r="C19" s="11">
        <v>8</v>
      </c>
      <c r="D19" s="59" t="s">
        <v>1474</v>
      </c>
      <c r="E19" s="231">
        <v>681822.55489378492</v>
      </c>
      <c r="F19" s="887">
        <v>0</v>
      </c>
      <c r="G19" s="395">
        <f t="shared" si="0"/>
        <v>681822.55489378492</v>
      </c>
      <c r="H19" s="789">
        <v>106</v>
      </c>
      <c r="I19" s="11">
        <v>12</v>
      </c>
      <c r="J19" s="34">
        <f t="shared" si="1"/>
        <v>8181870.6587254191</v>
      </c>
      <c r="K19" s="232"/>
      <c r="L19" s="35"/>
      <c r="M19" s="199"/>
    </row>
    <row r="20" spans="1:13">
      <c r="A20" s="789">
        <v>1</v>
      </c>
      <c r="B20" s="263">
        <v>104</v>
      </c>
      <c r="C20" s="11">
        <v>8</v>
      </c>
      <c r="D20" s="59" t="s">
        <v>381</v>
      </c>
      <c r="E20" s="231">
        <v>381434.43168136972</v>
      </c>
      <c r="F20" s="887">
        <v>0</v>
      </c>
      <c r="G20" s="395">
        <f t="shared" si="0"/>
        <v>381434.43168136972</v>
      </c>
      <c r="H20" s="789">
        <v>104</v>
      </c>
      <c r="I20" s="11">
        <v>12</v>
      </c>
      <c r="J20" s="34">
        <f t="shared" si="1"/>
        <v>4577213.1801764369</v>
      </c>
      <c r="K20" s="232"/>
      <c r="L20" s="35"/>
      <c r="M20" s="199"/>
    </row>
    <row r="21" spans="1:13">
      <c r="A21" s="789">
        <v>7</v>
      </c>
      <c r="B21" s="263">
        <v>102</v>
      </c>
      <c r="C21" s="11">
        <v>8</v>
      </c>
      <c r="D21" s="59" t="s">
        <v>510</v>
      </c>
      <c r="E21" s="231">
        <v>2949545.0964284106</v>
      </c>
      <c r="F21" s="887">
        <v>0</v>
      </c>
      <c r="G21" s="395">
        <f t="shared" si="0"/>
        <v>2949545.0964284106</v>
      </c>
      <c r="H21" s="789">
        <v>102</v>
      </c>
      <c r="I21" s="11">
        <v>12</v>
      </c>
      <c r="J21" s="34">
        <f t="shared" si="1"/>
        <v>35394541.157140926</v>
      </c>
      <c r="K21" s="232"/>
      <c r="L21" s="35"/>
      <c r="M21" s="796"/>
    </row>
    <row r="22" spans="1:13">
      <c r="A22" s="32">
        <v>1</v>
      </c>
      <c r="B22" s="789">
        <v>102</v>
      </c>
      <c r="C22" s="11">
        <v>8</v>
      </c>
      <c r="D22" s="59" t="s">
        <v>1466</v>
      </c>
      <c r="E22" s="231">
        <v>381434.43168136972</v>
      </c>
      <c r="F22" s="887">
        <v>0</v>
      </c>
      <c r="G22" s="395">
        <f t="shared" si="0"/>
        <v>381434.43168136972</v>
      </c>
      <c r="H22" s="789">
        <v>102</v>
      </c>
      <c r="I22" s="11">
        <v>12</v>
      </c>
      <c r="J22" s="34">
        <f t="shared" si="1"/>
        <v>4577213.1801764369</v>
      </c>
      <c r="K22" s="232"/>
      <c r="L22" s="35"/>
      <c r="M22" s="797"/>
    </row>
    <row r="23" spans="1:13">
      <c r="A23" s="32">
        <v>1</v>
      </c>
      <c r="B23" s="789">
        <v>102</v>
      </c>
      <c r="C23" s="11">
        <v>8</v>
      </c>
      <c r="D23" s="59" t="str">
        <f>+D22</f>
        <v>Inspector Vial</v>
      </c>
      <c r="E23" s="231">
        <v>381434.43168136972</v>
      </c>
      <c r="F23" s="887">
        <v>0</v>
      </c>
      <c r="G23" s="395">
        <f>+E23</f>
        <v>381434.43168136972</v>
      </c>
      <c r="H23" s="789">
        <v>102</v>
      </c>
      <c r="I23" s="11">
        <v>12</v>
      </c>
      <c r="J23" s="34">
        <f t="shared" si="1"/>
        <v>4577213.1801764369</v>
      </c>
      <c r="K23" s="232"/>
      <c r="L23" s="35"/>
      <c r="M23" s="797"/>
    </row>
    <row r="24" spans="1:13">
      <c r="A24" s="521">
        <v>1</v>
      </c>
      <c r="B24" s="789">
        <v>102</v>
      </c>
      <c r="C24" s="11">
        <v>8</v>
      </c>
      <c r="D24" s="59" t="s">
        <v>1086</v>
      </c>
      <c r="E24" s="231">
        <v>467435.44369380875</v>
      </c>
      <c r="F24" s="887">
        <v>0</v>
      </c>
      <c r="G24" s="395">
        <f t="shared" si="0"/>
        <v>467435.44369380875</v>
      </c>
      <c r="H24" s="789">
        <v>102</v>
      </c>
      <c r="I24" s="11">
        <v>12</v>
      </c>
      <c r="J24" s="34">
        <f t="shared" si="1"/>
        <v>5609225.3243257049</v>
      </c>
      <c r="K24" s="232"/>
      <c r="L24" s="35"/>
      <c r="M24" s="797"/>
    </row>
    <row r="25" spans="1:13">
      <c r="A25" s="521">
        <v>1</v>
      </c>
      <c r="B25" s="789">
        <v>101</v>
      </c>
      <c r="C25" s="151" t="s">
        <v>73</v>
      </c>
      <c r="D25" s="11" t="s">
        <v>351</v>
      </c>
      <c r="E25" s="231">
        <v>325249.91210387426</v>
      </c>
      <c r="F25" s="887">
        <v>0</v>
      </c>
      <c r="G25" s="395">
        <f t="shared" si="0"/>
        <v>325249.91210387426</v>
      </c>
      <c r="H25" s="789">
        <v>102</v>
      </c>
      <c r="I25" s="11">
        <v>12</v>
      </c>
      <c r="J25" s="34">
        <f t="shared" si="1"/>
        <v>3902998.9452464911</v>
      </c>
      <c r="K25" s="232"/>
      <c r="L25" s="35"/>
      <c r="M25" s="797"/>
    </row>
    <row r="26" spans="1:13">
      <c r="A26" s="521">
        <v>2</v>
      </c>
      <c r="B26" s="789">
        <v>101</v>
      </c>
      <c r="C26" s="151">
        <v>8</v>
      </c>
      <c r="D26" s="11" t="s">
        <v>1467</v>
      </c>
      <c r="E26" s="231">
        <v>842727.17040811735</v>
      </c>
      <c r="F26" s="887">
        <v>0</v>
      </c>
      <c r="G26" s="395">
        <f t="shared" si="0"/>
        <v>842727.17040811735</v>
      </c>
      <c r="H26" s="789">
        <v>102</v>
      </c>
      <c r="I26" s="11">
        <v>12</v>
      </c>
      <c r="J26" s="34">
        <f t="shared" si="1"/>
        <v>10112726.044897407</v>
      </c>
      <c r="K26" s="232"/>
      <c r="L26" s="35"/>
      <c r="M26" s="796"/>
    </row>
    <row r="27" spans="1:13" ht="12.75" thickBot="1">
      <c r="A27" s="444">
        <v>4</v>
      </c>
      <c r="B27" s="789">
        <v>101</v>
      </c>
      <c r="C27" s="11">
        <v>8</v>
      </c>
      <c r="D27" s="59" t="s">
        <v>1468</v>
      </c>
      <c r="E27" s="231">
        <v>1300999.6604772001</v>
      </c>
      <c r="F27" s="887">
        <v>0</v>
      </c>
      <c r="G27" s="395">
        <f>+E27</f>
        <v>1300999.6604772001</v>
      </c>
      <c r="H27" s="789">
        <v>101</v>
      </c>
      <c r="I27" s="11">
        <v>12</v>
      </c>
      <c r="J27" s="34">
        <f t="shared" si="1"/>
        <v>15611995.925726401</v>
      </c>
      <c r="K27" s="232"/>
      <c r="L27" s="35"/>
      <c r="M27" s="798"/>
    </row>
    <row r="28" spans="1:13" ht="12.75" thickTop="1">
      <c r="A28" s="32">
        <f>SUM(A15:A27)</f>
        <v>23</v>
      </c>
      <c r="E28" s="38"/>
      <c r="G28" s="395"/>
      <c r="H28" s="395"/>
      <c r="J28" s="34"/>
      <c r="K28" s="232"/>
      <c r="L28" s="35"/>
      <c r="M28" s="798"/>
    </row>
    <row r="29" spans="1:13">
      <c r="A29" s="36"/>
      <c r="D29" s="38" t="s">
        <v>1475</v>
      </c>
      <c r="E29" s="38"/>
      <c r="G29" s="395"/>
      <c r="H29" s="395"/>
      <c r="J29" s="37">
        <f>SUM(J15:J28)</f>
        <v>121358686.05783889</v>
      </c>
      <c r="K29" s="232">
        <f>+[2]DGV!$AE$34</f>
        <v>121358686.0578389</v>
      </c>
      <c r="L29" s="35"/>
      <c r="M29" s="231"/>
    </row>
    <row r="30" spans="1:13">
      <c r="A30" s="36"/>
      <c r="D30" s="38"/>
      <c r="E30" s="38"/>
      <c r="G30" s="395"/>
      <c r="H30" s="395"/>
      <c r="J30" s="37"/>
      <c r="K30" s="232">
        <f>+K29*3%</f>
        <v>3640760.5817351667</v>
      </c>
      <c r="L30" s="35"/>
      <c r="M30" s="231"/>
    </row>
    <row r="31" spans="1:13">
      <c r="A31" s="36"/>
      <c r="D31" s="38"/>
      <c r="E31" s="38"/>
      <c r="G31" s="395"/>
      <c r="H31" s="395"/>
      <c r="J31" s="37"/>
      <c r="K31" s="232"/>
      <c r="L31" s="35"/>
      <c r="M31" s="231"/>
    </row>
    <row r="32" spans="1:13">
      <c r="A32" s="521"/>
      <c r="B32" s="789"/>
      <c r="C32" s="151"/>
      <c r="E32" s="231"/>
      <c r="F32" s="887"/>
      <c r="G32" s="395"/>
      <c r="H32" s="789"/>
      <c r="J32" s="34"/>
      <c r="K32" s="232">
        <f>+K29+K30</f>
        <v>124999446.63957407</v>
      </c>
      <c r="L32" s="35"/>
      <c r="M32" s="231"/>
    </row>
    <row r="33" spans="1:15">
      <c r="A33" s="521">
        <v>6</v>
      </c>
      <c r="B33" s="789">
        <v>101</v>
      </c>
      <c r="C33" s="151">
        <v>8</v>
      </c>
      <c r="D33" s="11" t="s">
        <v>1313</v>
      </c>
      <c r="E33" s="231">
        <v>2528181.54</v>
      </c>
      <c r="F33" s="887">
        <v>0</v>
      </c>
      <c r="G33" s="395">
        <f t="shared" ref="G33:G34" si="2">+E33+F33</f>
        <v>2528181.54</v>
      </c>
      <c r="H33" s="789">
        <v>102</v>
      </c>
      <c r="I33" s="11">
        <v>12</v>
      </c>
      <c r="J33" s="34">
        <f t="shared" ref="J33:J34" si="3">+G33*I33</f>
        <v>30338178.48</v>
      </c>
      <c r="K33" s="232">
        <f>+'Distribucion Programas III UTGV'!C12</f>
        <v>124999446.63957407</v>
      </c>
      <c r="L33" s="35"/>
      <c r="M33" s="231"/>
    </row>
    <row r="34" spans="1:15">
      <c r="A34" s="521">
        <v>10</v>
      </c>
      <c r="B34" s="789">
        <v>101</v>
      </c>
      <c r="C34" s="151">
        <v>8</v>
      </c>
      <c r="D34" s="11" t="s">
        <v>1285</v>
      </c>
      <c r="E34" s="231">
        <v>3252499.0999999996</v>
      </c>
      <c r="F34" s="887">
        <v>0</v>
      </c>
      <c r="G34" s="395">
        <f t="shared" si="2"/>
        <v>3252499.0999999996</v>
      </c>
      <c r="H34" s="789">
        <v>102</v>
      </c>
      <c r="I34" s="11">
        <v>12</v>
      </c>
      <c r="J34" s="34">
        <f t="shared" si="3"/>
        <v>39029989.199999996</v>
      </c>
      <c r="K34" s="232"/>
      <c r="L34" s="35"/>
      <c r="M34" s="231"/>
    </row>
    <row r="35" spans="1:15">
      <c r="A35" s="521">
        <v>1</v>
      </c>
      <c r="B35" s="789">
        <v>101</v>
      </c>
      <c r="C35" s="151">
        <v>8</v>
      </c>
      <c r="D35" s="231" t="s">
        <v>1466</v>
      </c>
      <c r="E35" s="231">
        <f>+[2]DGV!$O$43</f>
        <v>381434.43168136972</v>
      </c>
      <c r="F35" s="887">
        <v>0</v>
      </c>
      <c r="G35" s="395">
        <f>+E35</f>
        <v>381434.43168136972</v>
      </c>
      <c r="H35" s="789">
        <v>102</v>
      </c>
      <c r="I35" s="11">
        <v>12</v>
      </c>
      <c r="J35" s="34">
        <f>+G35*I35</f>
        <v>4577213.1801764369</v>
      </c>
      <c r="K35" s="232"/>
      <c r="L35" s="35"/>
      <c r="M35" s="231"/>
    </row>
    <row r="36" spans="1:15">
      <c r="A36" s="521"/>
      <c r="B36" s="789"/>
      <c r="C36" s="151"/>
      <c r="E36" s="231"/>
      <c r="F36" s="887"/>
      <c r="G36" s="395"/>
      <c r="H36" s="789"/>
      <c r="J36" s="34"/>
      <c r="K36" s="232"/>
      <c r="L36" s="35"/>
      <c r="M36" s="231"/>
    </row>
    <row r="37" spans="1:15">
      <c r="A37" s="36"/>
      <c r="D37" s="38"/>
      <c r="E37" s="38"/>
      <c r="G37" s="395"/>
      <c r="H37" s="395"/>
      <c r="J37" s="34"/>
      <c r="K37" s="232"/>
      <c r="L37" s="35"/>
      <c r="M37" s="231"/>
    </row>
    <row r="38" spans="1:15" ht="12.75" thickBot="1">
      <c r="A38" s="444"/>
      <c r="D38" s="38"/>
      <c r="E38" s="38"/>
      <c r="G38" s="395"/>
      <c r="H38" s="395"/>
      <c r="J38" s="34"/>
      <c r="K38" s="232"/>
      <c r="L38" s="35"/>
      <c r="M38" s="231"/>
    </row>
    <row r="39" spans="1:15" ht="12.75" thickTop="1">
      <c r="A39" s="32">
        <f>SUM(A32:A36)</f>
        <v>17</v>
      </c>
      <c r="D39" s="38" t="s">
        <v>380</v>
      </c>
      <c r="E39" s="38"/>
      <c r="G39" s="395"/>
      <c r="H39" s="395"/>
      <c r="J39" s="37">
        <f>SUM(J32:J38)</f>
        <v>73945380.860176429</v>
      </c>
      <c r="K39" s="232">
        <f>+[2]DGV!$AE$46</f>
        <v>73945380.860176429</v>
      </c>
      <c r="L39" s="35"/>
      <c r="M39" s="231"/>
    </row>
    <row r="40" spans="1:15">
      <c r="A40" s="36"/>
      <c r="D40" s="38"/>
      <c r="E40" s="38"/>
      <c r="G40" s="395"/>
      <c r="H40" s="395"/>
      <c r="J40" s="37"/>
      <c r="K40" s="232">
        <f>+K39*3%</f>
        <v>2218361.425805293</v>
      </c>
      <c r="L40" s="35"/>
      <c r="M40" s="231"/>
    </row>
    <row r="41" spans="1:15" ht="12.75" thickBot="1">
      <c r="A41" s="36"/>
      <c r="B41" s="39"/>
      <c r="E41" s="889"/>
      <c r="G41" s="395"/>
      <c r="H41" s="395"/>
      <c r="J41" s="262"/>
      <c r="K41" s="232"/>
      <c r="M41" s="231"/>
    </row>
    <row r="42" spans="1:15" ht="12.75" thickBot="1">
      <c r="A42" s="40">
        <f>+A28+A39</f>
        <v>40</v>
      </c>
      <c r="B42" s="41" t="s">
        <v>80</v>
      </c>
      <c r="C42" s="42"/>
      <c r="D42" s="42"/>
      <c r="E42" s="42"/>
      <c r="F42" s="42"/>
      <c r="G42" s="42"/>
      <c r="H42" s="42"/>
      <c r="I42" s="42"/>
      <c r="J42" s="43"/>
      <c r="K42" s="232">
        <f>+K39+K40</f>
        <v>76163742.285981715</v>
      </c>
      <c r="M42" s="231"/>
    </row>
    <row r="43" spans="1:15">
      <c r="A43" s="146"/>
      <c r="B43" s="38"/>
      <c r="K43" s="231">
        <f>+'Distribucion Programas III UTGV'!C14</f>
        <v>76163742.285981715</v>
      </c>
      <c r="M43" s="235"/>
    </row>
    <row r="44" spans="1:15" ht="15.75" customHeight="1">
      <c r="J44" s="235"/>
      <c r="K44" s="231"/>
    </row>
    <row r="45" spans="1:15" ht="15" customHeight="1" thickBot="1">
      <c r="A45" s="44" t="s">
        <v>81</v>
      </c>
      <c r="E45" s="235"/>
      <c r="K45" s="231"/>
      <c r="N45" s="891"/>
      <c r="O45" s="891"/>
    </row>
    <row r="46" spans="1:15" ht="15.75" customHeight="1" thickBot="1">
      <c r="A46" s="38"/>
      <c r="I46" s="1069" t="s">
        <v>82</v>
      </c>
      <c r="J46" s="1070"/>
      <c r="K46" s="231"/>
      <c r="M46" s="194"/>
      <c r="N46" s="891"/>
      <c r="O46" s="891"/>
    </row>
    <row r="47" spans="1:15" ht="15.75" customHeight="1">
      <c r="B47" s="1091" t="s">
        <v>1235</v>
      </c>
      <c r="C47" s="1091"/>
      <c r="D47" s="1091"/>
      <c r="E47" s="1091"/>
      <c r="F47" s="1091"/>
      <c r="G47" s="1091"/>
      <c r="H47" s="1091"/>
      <c r="I47" s="1093">
        <v>47794117.562890507</v>
      </c>
      <c r="J47" s="1093"/>
      <c r="K47" s="231">
        <f>+[2]DGV!$AD$34</f>
        <v>47794117.562890507</v>
      </c>
      <c r="M47" s="194">
        <f>+K47*3%</f>
        <v>1433823.5268867151</v>
      </c>
      <c r="N47" s="891">
        <f>+K47+M47</f>
        <v>49227941.089777224</v>
      </c>
      <c r="O47" s="891">
        <f>+'Distribucion Programas III UTGV'!C26</f>
        <v>49227941.089777224</v>
      </c>
    </row>
    <row r="48" spans="1:15" ht="15.75" customHeight="1">
      <c r="B48" s="45" t="s">
        <v>83</v>
      </c>
      <c r="C48" s="46"/>
      <c r="D48" s="46"/>
      <c r="E48" s="46"/>
      <c r="F48" s="46"/>
      <c r="G48" s="46"/>
      <c r="H48" s="46"/>
      <c r="I48" s="1094">
        <v>9000057.7245979626</v>
      </c>
      <c r="J48" s="1095"/>
      <c r="K48" s="233">
        <f>+[2]DGV!$AF$34</f>
        <v>9000057.7245979626</v>
      </c>
      <c r="M48" s="194">
        <f>+K48*3%</f>
        <v>270001.73173793888</v>
      </c>
      <c r="N48" s="891">
        <f>+K48+M48</f>
        <v>9270059.4563359022</v>
      </c>
      <c r="O48" s="891">
        <f>+'Distribucion Programas III UTGV'!C27</f>
        <v>9270059.4563359022</v>
      </c>
    </row>
    <row r="49" spans="1:15" ht="15.75" customHeight="1">
      <c r="B49" s="1091" t="s">
        <v>84</v>
      </c>
      <c r="C49" s="1091"/>
      <c r="D49" s="1091"/>
      <c r="E49" s="1091"/>
      <c r="F49" s="1091"/>
      <c r="G49" s="1091"/>
      <c r="H49" s="1091"/>
      <c r="I49" s="1093">
        <f>+'Distribucion Programas III UTGV'!C29</f>
        <v>29751304.168861482</v>
      </c>
      <c r="J49" s="1093"/>
      <c r="K49" s="233"/>
      <c r="M49" s="194"/>
      <c r="N49" s="891"/>
      <c r="O49" s="891"/>
    </row>
    <row r="50" spans="1:15" ht="15.75" customHeight="1">
      <c r="B50" s="1091" t="s">
        <v>85</v>
      </c>
      <c r="C50" s="1091"/>
      <c r="D50" s="1091"/>
      <c r="E50" s="1091"/>
      <c r="F50" s="1091"/>
      <c r="G50" s="1091"/>
      <c r="H50" s="1091"/>
      <c r="I50" s="1092">
        <f>SUM(I51:J54)</f>
        <v>0</v>
      </c>
      <c r="J50" s="1092"/>
      <c r="K50" s="233"/>
      <c r="M50" s="194"/>
      <c r="N50" s="891"/>
      <c r="O50" s="891"/>
    </row>
    <row r="51" spans="1:15" ht="15.75" customHeight="1">
      <c r="B51" s="1089" t="s">
        <v>86</v>
      </c>
      <c r="C51" s="1089"/>
      <c r="D51" s="1089"/>
      <c r="E51" s="1089"/>
      <c r="F51" s="1089"/>
      <c r="G51" s="1089"/>
      <c r="H51" s="1089"/>
      <c r="I51" s="1090">
        <v>0</v>
      </c>
      <c r="J51" s="1090"/>
      <c r="K51" s="233"/>
      <c r="M51" s="194"/>
    </row>
    <row r="52" spans="1:15" ht="15.75" customHeight="1">
      <c r="B52" s="1089" t="s">
        <v>87</v>
      </c>
      <c r="C52" s="1089"/>
      <c r="D52" s="1089"/>
      <c r="E52" s="1089"/>
      <c r="F52" s="1089"/>
      <c r="G52" s="1089"/>
      <c r="H52" s="1089"/>
      <c r="I52" s="1096">
        <v>0</v>
      </c>
      <c r="J52" s="1096"/>
      <c r="K52" s="233"/>
    </row>
    <row r="53" spans="1:15" ht="15.75" customHeight="1">
      <c r="B53" s="1089" t="s">
        <v>87</v>
      </c>
      <c r="C53" s="1089"/>
      <c r="D53" s="1089"/>
      <c r="E53" s="1089"/>
      <c r="F53" s="1089"/>
      <c r="G53" s="1089"/>
      <c r="H53" s="1089"/>
      <c r="I53" s="1096">
        <v>0</v>
      </c>
      <c r="J53" s="1096"/>
      <c r="K53" s="233"/>
    </row>
    <row r="54" spans="1:15" ht="15.75" customHeight="1">
      <c r="B54" s="1089" t="s">
        <v>87</v>
      </c>
      <c r="C54" s="1089"/>
      <c r="D54" s="1089"/>
      <c r="E54" s="1089"/>
      <c r="F54" s="1089"/>
      <c r="G54" s="1089"/>
      <c r="H54" s="1089"/>
      <c r="I54" s="1096">
        <v>0</v>
      </c>
      <c r="J54" s="1096"/>
      <c r="K54" s="233"/>
    </row>
    <row r="55" spans="1:15" ht="15.75" customHeight="1">
      <c r="B55" s="888"/>
      <c r="C55" s="888"/>
      <c r="D55" s="888"/>
      <c r="E55" s="888"/>
      <c r="F55" s="888"/>
      <c r="G55" s="888"/>
      <c r="H55" s="888"/>
      <c r="I55" s="887"/>
      <c r="J55" s="887"/>
      <c r="K55" s="233"/>
      <c r="M55" s="395"/>
    </row>
    <row r="56" spans="1:15" ht="15.75" customHeight="1">
      <c r="B56" s="888"/>
      <c r="C56" s="888"/>
      <c r="D56" s="888"/>
      <c r="E56" s="888"/>
      <c r="F56" s="888"/>
      <c r="G56" s="888"/>
      <c r="H56" s="888"/>
      <c r="I56" s="887"/>
      <c r="J56" s="887"/>
      <c r="K56" s="233"/>
      <c r="M56" s="395"/>
    </row>
    <row r="57" spans="1:15" ht="15.75" customHeight="1">
      <c r="B57" s="888"/>
      <c r="C57" s="888"/>
      <c r="D57" s="888"/>
      <c r="E57" s="888"/>
      <c r="F57" s="888"/>
      <c r="G57" s="888"/>
      <c r="H57" s="888"/>
      <c r="I57" s="887"/>
      <c r="J57" s="887"/>
      <c r="K57" s="233"/>
    </row>
    <row r="58" spans="1:15" ht="15.75" customHeight="1">
      <c r="A58" s="38"/>
      <c r="B58" s="888"/>
      <c r="C58" s="888"/>
      <c r="D58" s="888"/>
      <c r="E58" s="888"/>
      <c r="F58" s="888"/>
      <c r="G58" s="888"/>
      <c r="H58" s="888"/>
      <c r="I58" s="887"/>
      <c r="J58" s="887"/>
      <c r="K58" s="233"/>
      <c r="M58" s="395"/>
    </row>
    <row r="59" spans="1:15" ht="15.75" customHeight="1">
      <c r="A59" s="54" t="s">
        <v>1469</v>
      </c>
      <c r="B59" s="888"/>
      <c r="C59" s="888"/>
      <c r="D59" s="888"/>
      <c r="E59" s="888"/>
      <c r="F59" s="888"/>
      <c r="G59" s="888"/>
      <c r="H59" s="888"/>
      <c r="I59" s="887"/>
      <c r="J59" s="887"/>
      <c r="K59" s="233"/>
      <c r="M59" s="235"/>
    </row>
    <row r="60" spans="1:15" ht="15.75" customHeight="1">
      <c r="A60" s="54" t="s">
        <v>1462</v>
      </c>
      <c r="B60" s="888"/>
      <c r="C60" s="888"/>
      <c r="D60" s="888"/>
      <c r="E60" s="888"/>
      <c r="F60" s="888"/>
      <c r="G60" s="888"/>
      <c r="H60" s="888"/>
      <c r="I60" s="887"/>
      <c r="J60" s="887"/>
      <c r="K60" s="233"/>
    </row>
    <row r="61" spans="1:15" ht="15.75" customHeight="1">
      <c r="B61" s="888"/>
      <c r="C61" s="888"/>
      <c r="D61" s="888"/>
      <c r="E61" s="888"/>
      <c r="F61" s="888"/>
      <c r="G61" s="888"/>
      <c r="H61" s="888"/>
      <c r="I61" s="887"/>
      <c r="J61" s="887"/>
      <c r="K61" s="233"/>
      <c r="M61" s="235"/>
    </row>
    <row r="62" spans="1:15" ht="15.75" customHeight="1">
      <c r="B62" s="888"/>
      <c r="C62" s="888"/>
      <c r="D62" s="888"/>
      <c r="E62" s="888"/>
      <c r="F62" s="888"/>
      <c r="G62" s="888"/>
      <c r="H62" s="888"/>
      <c r="I62" s="887"/>
      <c r="J62" s="887"/>
      <c r="K62" s="233"/>
      <c r="M62" s="194"/>
    </row>
    <row r="63" spans="1:15" ht="15.75" customHeight="1">
      <c r="B63" s="888"/>
      <c r="C63" s="888"/>
      <c r="D63" s="888"/>
      <c r="E63" s="888"/>
      <c r="F63" s="888"/>
      <c r="G63" s="888"/>
      <c r="H63" s="888"/>
      <c r="I63" s="887"/>
      <c r="J63" s="887"/>
      <c r="K63" s="233"/>
    </row>
    <row r="64" spans="1:15">
      <c r="A64" s="38"/>
      <c r="J64" s="33"/>
      <c r="K64" s="231"/>
      <c r="M64" s="235"/>
    </row>
    <row r="65" spans="1:13">
      <c r="A65" s="38"/>
      <c r="J65" s="33"/>
      <c r="K65" s="231"/>
      <c r="M65" s="194"/>
    </row>
    <row r="66" spans="1:13">
      <c r="A66" s="38"/>
      <c r="J66" s="33"/>
      <c r="K66" s="231"/>
      <c r="M66" s="235"/>
    </row>
    <row r="67" spans="1:13">
      <c r="A67" s="38"/>
      <c r="J67" s="33"/>
      <c r="K67" s="231"/>
    </row>
    <row r="68" spans="1:13">
      <c r="A68" s="38"/>
      <c r="J68" s="33"/>
      <c r="K68" s="231"/>
    </row>
    <row r="69" spans="1:13">
      <c r="A69" s="38"/>
      <c r="J69" s="33"/>
      <c r="K69" s="231"/>
    </row>
    <row r="70" spans="1:13">
      <c r="A70" s="38"/>
      <c r="J70" s="33"/>
      <c r="K70" s="231"/>
    </row>
    <row r="71" spans="1:13">
      <c r="A71" s="38"/>
      <c r="J71" s="33"/>
      <c r="K71" s="231"/>
    </row>
    <row r="72" spans="1:13">
      <c r="A72" s="38"/>
      <c r="J72" s="33"/>
      <c r="K72" s="231"/>
    </row>
    <row r="73" spans="1:13">
      <c r="A73" s="38"/>
      <c r="J73" s="33"/>
      <c r="K73" s="231"/>
    </row>
    <row r="74" spans="1:13">
      <c r="A74" s="38"/>
      <c r="J74" s="33"/>
      <c r="K74" s="231"/>
    </row>
    <row r="75" spans="1:13">
      <c r="A75" s="38"/>
      <c r="J75" s="33"/>
      <c r="K75" s="231"/>
    </row>
    <row r="76" spans="1:13">
      <c r="A76" s="38"/>
      <c r="J76" s="33"/>
      <c r="K76" s="231"/>
    </row>
    <row r="77" spans="1:13">
      <c r="A77" s="38"/>
      <c r="J77" s="33"/>
      <c r="K77" s="231"/>
    </row>
    <row r="78" spans="1:13">
      <c r="A78" s="38"/>
      <c r="J78" s="33"/>
      <c r="K78" s="231"/>
    </row>
    <row r="79" spans="1:13">
      <c r="A79" s="38"/>
      <c r="J79" s="33"/>
      <c r="K79" s="231"/>
    </row>
    <row r="80" spans="1:13">
      <c r="A80" s="38"/>
      <c r="J80" s="33"/>
      <c r="K80" s="231"/>
    </row>
    <row r="81" spans="1:11">
      <c r="A81" s="38"/>
      <c r="J81" s="33"/>
      <c r="K81" s="231"/>
    </row>
    <row r="82" spans="1:11">
      <c r="A82" s="38" t="s">
        <v>88</v>
      </c>
      <c r="J82" s="33"/>
      <c r="K82" s="231"/>
    </row>
    <row r="83" spans="1:11">
      <c r="A83" s="38"/>
      <c r="J83" s="33"/>
      <c r="K83" s="231"/>
    </row>
    <row r="84" spans="1:11">
      <c r="A84" s="38"/>
      <c r="J84" s="33"/>
      <c r="K84" s="231"/>
    </row>
    <row r="85" spans="1:11">
      <c r="A85" s="38"/>
      <c r="J85" s="33"/>
      <c r="K85" s="231"/>
    </row>
    <row r="86" spans="1:11">
      <c r="A86" s="11" t="s">
        <v>89</v>
      </c>
      <c r="J86" s="33"/>
      <c r="K86" s="231"/>
    </row>
    <row r="87" spans="1:11">
      <c r="A87" s="11" t="s">
        <v>90</v>
      </c>
      <c r="J87" s="33"/>
      <c r="K87" s="231"/>
    </row>
    <row r="88" spans="1:11">
      <c r="A88" s="11" t="s">
        <v>91</v>
      </c>
      <c r="J88" s="33"/>
      <c r="K88" s="231"/>
    </row>
    <row r="89" spans="1:11">
      <c r="A89" s="11" t="s">
        <v>92</v>
      </c>
      <c r="J89" s="33"/>
      <c r="K89" s="231"/>
    </row>
    <row r="90" spans="1:11">
      <c r="A90" s="11" t="s">
        <v>134</v>
      </c>
      <c r="J90" s="33"/>
      <c r="K90" s="231"/>
    </row>
    <row r="91" spans="1:11">
      <c r="A91" s="11" t="s">
        <v>135</v>
      </c>
      <c r="J91" s="33"/>
      <c r="K91" s="231"/>
    </row>
    <row r="92" spans="1:11">
      <c r="A92" s="11" t="s">
        <v>136</v>
      </c>
      <c r="J92" s="33"/>
      <c r="K92" s="231"/>
    </row>
    <row r="93" spans="1:11">
      <c r="A93" s="11" t="s">
        <v>137</v>
      </c>
      <c r="J93" s="33"/>
      <c r="K93" s="231"/>
    </row>
    <row r="94" spans="1:11">
      <c r="A94" s="11" t="s">
        <v>138</v>
      </c>
      <c r="J94" s="33"/>
      <c r="K94" s="231"/>
    </row>
    <row r="95" spans="1:11">
      <c r="A95" s="11" t="s">
        <v>139</v>
      </c>
    </row>
    <row r="96" spans="1:11">
      <c r="A96" s="11" t="s">
        <v>140</v>
      </c>
    </row>
    <row r="97" spans="1:11">
      <c r="A97" s="11" t="s">
        <v>141</v>
      </c>
    </row>
    <row r="99" spans="1:11" customFormat="1" ht="12.75">
      <c r="A99" s="49"/>
      <c r="K99" s="192"/>
    </row>
    <row r="100" spans="1:11" customFormat="1" ht="18" customHeight="1">
      <c r="A100" s="49"/>
      <c r="K100" s="192"/>
    </row>
    <row r="101" spans="1:11" customFormat="1" ht="12.75">
      <c r="K101" s="192"/>
    </row>
  </sheetData>
  <mergeCells count="21">
    <mergeCell ref="B52:H52"/>
    <mergeCell ref="I52:J52"/>
    <mergeCell ref="B53:H53"/>
    <mergeCell ref="I53:J53"/>
    <mergeCell ref="B54:H54"/>
    <mergeCell ref="I54:J54"/>
    <mergeCell ref="B51:H51"/>
    <mergeCell ref="I51:J51"/>
    <mergeCell ref="B50:H50"/>
    <mergeCell ref="I50:J50"/>
    <mergeCell ref="B47:H47"/>
    <mergeCell ref="I49:J49"/>
    <mergeCell ref="I47:J47"/>
    <mergeCell ref="B49:H49"/>
    <mergeCell ref="I48:J48"/>
    <mergeCell ref="I46:J46"/>
    <mergeCell ref="A2:J2"/>
    <mergeCell ref="A3:J3"/>
    <mergeCell ref="A4:J4"/>
    <mergeCell ref="A5:J5"/>
    <mergeCell ref="A7:A10"/>
  </mergeCells>
  <phoneticPr fontId="3" type="noConversion"/>
  <pageMargins left="0.19685039370078741" right="0.19685039370078741" top="0.39370078740157483" bottom="0.39370078740157483" header="0" footer="0"/>
  <pageSetup scale="85" orientation="portrait" horizontalDpi="4294967294" verticalDpi="144" r:id="rId1"/>
  <headerFooter alignWithMargins="0">
    <oddFooter>&amp;L&amp;8&amp;Z&amp;F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I132"/>
  <sheetViews>
    <sheetView topLeftCell="A93" zoomScaleNormal="100" workbookViewId="0">
      <selection activeCell="C114" sqref="C114"/>
    </sheetView>
  </sheetViews>
  <sheetFormatPr baseColWidth="10" defaultRowHeight="15" customHeight="1"/>
  <cols>
    <col min="1" max="1" width="21.85546875" style="1" customWidth="1"/>
    <col min="2" max="2" width="72.42578125" style="1" customWidth="1"/>
    <col min="3" max="3" width="18.7109375" style="243" customWidth="1"/>
    <col min="4" max="4" width="3.42578125" style="1" customWidth="1"/>
    <col min="5" max="5" width="18" style="243" customWidth="1"/>
    <col min="6" max="6" width="18.7109375" style="1" customWidth="1"/>
    <col min="7" max="7" width="18" style="1" customWidth="1"/>
    <col min="8" max="8" width="15" style="1" customWidth="1"/>
    <col min="9" max="9" width="14" style="1" customWidth="1"/>
    <col min="10" max="16384" width="11.42578125" style="1"/>
  </cols>
  <sheetData>
    <row r="1" spans="1:7" ht="17.25" customHeight="1">
      <c r="A1" s="1001" t="s">
        <v>23</v>
      </c>
      <c r="B1" s="1001"/>
      <c r="C1" s="1001"/>
    </row>
    <row r="2" spans="1:7" ht="16.5" customHeight="1">
      <c r="A2" s="1001" t="s">
        <v>1350</v>
      </c>
      <c r="B2" s="1001"/>
      <c r="C2" s="1001"/>
    </row>
    <row r="3" spans="1:7" ht="19.5" customHeight="1">
      <c r="A3" s="1001"/>
      <c r="B3" s="1001"/>
      <c r="C3" s="1001"/>
    </row>
    <row r="4" spans="1:7" ht="15" customHeight="1">
      <c r="A4" s="1001" t="s">
        <v>116</v>
      </c>
      <c r="B4" s="1001"/>
      <c r="C4" s="1001"/>
    </row>
    <row r="5" spans="1:7" ht="12" customHeight="1">
      <c r="F5" s="243"/>
    </row>
    <row r="6" spans="1:7" ht="15" customHeight="1">
      <c r="A6" s="343" t="s">
        <v>1020</v>
      </c>
      <c r="B6" s="343" t="s">
        <v>1021</v>
      </c>
      <c r="C6" s="367" t="s">
        <v>1358</v>
      </c>
      <c r="F6" s="243"/>
    </row>
    <row r="7" spans="1:7" ht="12" customHeight="1">
      <c r="A7" s="344"/>
      <c r="B7" s="344"/>
      <c r="C7" s="368"/>
      <c r="E7" s="811" t="s">
        <v>1310</v>
      </c>
      <c r="F7" s="811" t="s">
        <v>1311</v>
      </c>
      <c r="G7" s="811" t="s">
        <v>1312</v>
      </c>
    </row>
    <row r="8" spans="1:7" ht="15" customHeight="1">
      <c r="A8" s="348" t="s">
        <v>907</v>
      </c>
      <c r="B8" s="348" t="s">
        <v>920</v>
      </c>
      <c r="C8" s="369">
        <f>+C9+C41+C92</f>
        <v>905856106.34000003</v>
      </c>
      <c r="D8" s="243"/>
      <c r="F8" s="243"/>
    </row>
    <row r="9" spans="1:7" ht="15" customHeight="1">
      <c r="A9" s="348" t="s">
        <v>910</v>
      </c>
      <c r="B9" s="348" t="s">
        <v>919</v>
      </c>
      <c r="C9" s="369">
        <f>+C10+C17+C38</f>
        <v>524427000</v>
      </c>
      <c r="F9" s="243"/>
    </row>
    <row r="10" spans="1:7" ht="15" customHeight="1">
      <c r="A10" s="348" t="s">
        <v>911</v>
      </c>
      <c r="B10" s="348" t="s">
        <v>921</v>
      </c>
      <c r="C10" s="369">
        <f>+C11+C13+C15</f>
        <v>385020000</v>
      </c>
      <c r="F10" s="243"/>
    </row>
    <row r="11" spans="1:7" ht="15" customHeight="1">
      <c r="A11" s="348" t="s">
        <v>912</v>
      </c>
      <c r="B11" s="348" t="s">
        <v>922</v>
      </c>
      <c r="C11" s="369">
        <f>+C12</f>
        <v>368000000</v>
      </c>
      <c r="F11" s="243"/>
    </row>
    <row r="12" spans="1:7" ht="15" customHeight="1">
      <c r="A12" s="6" t="s">
        <v>908</v>
      </c>
      <c r="B12" s="6" t="s">
        <v>909</v>
      </c>
      <c r="C12" s="370">
        <f>+[1]Detalle!$G$10</f>
        <v>368000000</v>
      </c>
      <c r="E12" s="243">
        <f>+C12*10%</f>
        <v>36800000</v>
      </c>
      <c r="F12" s="243">
        <f>+C12-E12</f>
        <v>331200000</v>
      </c>
    </row>
    <row r="13" spans="1:7" ht="15" customHeight="1">
      <c r="A13" s="348" t="s">
        <v>954</v>
      </c>
      <c r="B13" s="348" t="s">
        <v>955</v>
      </c>
      <c r="C13" s="369">
        <f>+C14</f>
        <v>17000000</v>
      </c>
      <c r="F13" s="243"/>
    </row>
    <row r="14" spans="1:7" ht="15" customHeight="1">
      <c r="A14" s="6" t="s">
        <v>956</v>
      </c>
      <c r="B14" s="6" t="s">
        <v>957</v>
      </c>
      <c r="C14" s="370">
        <f>+[1]Detalle!$G$12</f>
        <v>17000000</v>
      </c>
      <c r="E14" s="243">
        <f>+C14</f>
        <v>17000000</v>
      </c>
      <c r="F14" s="243"/>
    </row>
    <row r="15" spans="1:7" ht="15" customHeight="1">
      <c r="A15" s="348" t="s">
        <v>913</v>
      </c>
      <c r="B15" s="348" t="s">
        <v>923</v>
      </c>
      <c r="C15" s="369">
        <f>+C16</f>
        <v>20000</v>
      </c>
      <c r="F15" s="243"/>
    </row>
    <row r="16" spans="1:7" ht="15" customHeight="1">
      <c r="A16" s="6" t="s">
        <v>930</v>
      </c>
      <c r="B16" s="6" t="s">
        <v>931</v>
      </c>
      <c r="C16" s="370">
        <v>20000</v>
      </c>
      <c r="E16" s="243">
        <f>+C16</f>
        <v>20000</v>
      </c>
      <c r="F16" s="243">
        <f>+C16-E16</f>
        <v>0</v>
      </c>
    </row>
    <row r="17" spans="1:6" ht="15" customHeight="1">
      <c r="A17" s="348" t="s">
        <v>914</v>
      </c>
      <c r="B17" s="348" t="s">
        <v>924</v>
      </c>
      <c r="C17" s="369">
        <f>+C18+C31</f>
        <v>137407000</v>
      </c>
      <c r="F17" s="243"/>
    </row>
    <row r="18" spans="1:6" ht="15" customHeight="1">
      <c r="A18" s="348" t="s">
        <v>915</v>
      </c>
      <c r="B18" s="348" t="s">
        <v>925</v>
      </c>
      <c r="C18" s="369">
        <f>+C20+C25</f>
        <v>12162000</v>
      </c>
    </row>
    <row r="19" spans="1:6" ht="15" customHeight="1">
      <c r="A19" s="348"/>
      <c r="B19" s="349" t="s">
        <v>928</v>
      </c>
      <c r="C19" s="369"/>
      <c r="F19" s="679"/>
    </row>
    <row r="20" spans="1:6" ht="15" customHeight="1">
      <c r="A20" s="348" t="s">
        <v>916</v>
      </c>
      <c r="B20" s="348" t="s">
        <v>926</v>
      </c>
      <c r="C20" s="369">
        <f>+C22+C24</f>
        <v>12000000</v>
      </c>
    </row>
    <row r="21" spans="1:6" ht="15" customHeight="1">
      <c r="A21" s="348" t="s">
        <v>917</v>
      </c>
      <c r="B21" s="348" t="s">
        <v>929</v>
      </c>
      <c r="C21" s="369"/>
    </row>
    <row r="22" spans="1:6" ht="15" customHeight="1">
      <c r="A22" s="350" t="s">
        <v>918</v>
      </c>
      <c r="B22" s="350" t="s">
        <v>927</v>
      </c>
      <c r="C22" s="369">
        <f>+C23</f>
        <v>0</v>
      </c>
    </row>
    <row r="23" spans="1:6" ht="15" customHeight="1">
      <c r="A23" s="6" t="s">
        <v>932</v>
      </c>
      <c r="B23" s="6" t="s">
        <v>933</v>
      </c>
      <c r="C23" s="370">
        <v>0</v>
      </c>
      <c r="F23" s="243">
        <f>+C23-E23</f>
        <v>0</v>
      </c>
    </row>
    <row r="24" spans="1:6" ht="15" customHeight="1">
      <c r="A24" s="6" t="s">
        <v>25</v>
      </c>
      <c r="B24" s="6" t="s">
        <v>26</v>
      </c>
      <c r="C24" s="370">
        <f>+[1]Detalle!$G$14</f>
        <v>12000000</v>
      </c>
      <c r="E24" s="243">
        <f>+C24</f>
        <v>12000000</v>
      </c>
    </row>
    <row r="25" spans="1:6" ht="15" customHeight="1">
      <c r="A25" s="348" t="s">
        <v>934</v>
      </c>
      <c r="B25" s="348" t="s">
        <v>936</v>
      </c>
      <c r="C25" s="369">
        <f>+C27</f>
        <v>162000</v>
      </c>
    </row>
    <row r="26" spans="1:6" ht="15" customHeight="1">
      <c r="A26" s="348" t="s">
        <v>917</v>
      </c>
      <c r="B26" s="348" t="s">
        <v>939</v>
      </c>
      <c r="C26" s="369"/>
    </row>
    <row r="27" spans="1:6" ht="15" customHeight="1">
      <c r="A27" s="348" t="s">
        <v>935</v>
      </c>
      <c r="B27" s="348" t="s">
        <v>937</v>
      </c>
      <c r="C27" s="369">
        <f>+C29+C30</f>
        <v>162000</v>
      </c>
    </row>
    <row r="28" spans="1:6" ht="15" customHeight="1">
      <c r="A28" s="348" t="s">
        <v>917</v>
      </c>
      <c r="B28" s="348" t="s">
        <v>938</v>
      </c>
      <c r="C28" s="369"/>
    </row>
    <row r="29" spans="1:6" ht="15" customHeight="1">
      <c r="A29" s="6" t="s">
        <v>940</v>
      </c>
      <c r="B29" s="6" t="s">
        <v>941</v>
      </c>
      <c r="C29" s="370">
        <f>+[1]Detalle!$G$15</f>
        <v>36000</v>
      </c>
      <c r="F29" s="243">
        <f>+C29-E29</f>
        <v>36000</v>
      </c>
    </row>
    <row r="30" spans="1:6" ht="15" customHeight="1">
      <c r="A30" s="6" t="s">
        <v>942</v>
      </c>
      <c r="B30" s="6" t="s">
        <v>943</v>
      </c>
      <c r="C30" s="370">
        <f>+[1]Detalle!$G$16</f>
        <v>126000</v>
      </c>
      <c r="E30" s="243">
        <f>+C30</f>
        <v>126000</v>
      </c>
    </row>
    <row r="31" spans="1:6" ht="15" customHeight="1">
      <c r="A31" s="348" t="s">
        <v>950</v>
      </c>
      <c r="B31" s="348" t="s">
        <v>952</v>
      </c>
      <c r="C31" s="369">
        <f>+C32</f>
        <v>125245000</v>
      </c>
    </row>
    <row r="32" spans="1:6" ht="15" customHeight="1">
      <c r="A32" s="348" t="s">
        <v>951</v>
      </c>
      <c r="B32" s="348" t="s">
        <v>953</v>
      </c>
      <c r="C32" s="369">
        <f>+C33+C34+C35+C36+C37</f>
        <v>125245000</v>
      </c>
    </row>
    <row r="33" spans="1:6" ht="15" customHeight="1">
      <c r="A33" s="6" t="s">
        <v>944</v>
      </c>
      <c r="B33" s="6" t="s">
        <v>945</v>
      </c>
      <c r="C33" s="370">
        <f>+[1]Detalle!$G$17</f>
        <v>89000000</v>
      </c>
      <c r="D33" s="243"/>
      <c r="E33" s="243">
        <f>+C33</f>
        <v>89000000</v>
      </c>
      <c r="F33" s="518"/>
    </row>
    <row r="34" spans="1:6" ht="15" customHeight="1">
      <c r="A34" s="6" t="s">
        <v>946</v>
      </c>
      <c r="B34" s="6" t="s">
        <v>480</v>
      </c>
      <c r="C34" s="370">
        <v>100000</v>
      </c>
      <c r="D34" s="243"/>
      <c r="E34" s="243">
        <f>+C34</f>
        <v>100000</v>
      </c>
    </row>
    <row r="35" spans="1:6" ht="15" customHeight="1">
      <c r="A35" s="6" t="s">
        <v>947</v>
      </c>
      <c r="B35" s="6" t="s">
        <v>948</v>
      </c>
      <c r="C35" s="370">
        <f>+[1]Detalle!$G$18</f>
        <v>745000</v>
      </c>
      <c r="F35" s="243">
        <f>+C35-E35</f>
        <v>745000</v>
      </c>
    </row>
    <row r="36" spans="1:6" ht="15" customHeight="1">
      <c r="A36" s="6" t="s">
        <v>949</v>
      </c>
      <c r="B36" s="6" t="s">
        <v>481</v>
      </c>
      <c r="C36" s="370">
        <f>+[1]Detalle!$G$19</f>
        <v>35400000</v>
      </c>
      <c r="E36" s="243">
        <f>+C36</f>
        <v>35400000</v>
      </c>
    </row>
    <row r="37" spans="1:6" ht="15" customHeight="1">
      <c r="A37" s="6"/>
      <c r="B37" s="6"/>
      <c r="C37" s="370"/>
    </row>
    <row r="38" spans="1:6" ht="15" customHeight="1">
      <c r="A38" s="348" t="s">
        <v>958</v>
      </c>
      <c r="B38" s="348" t="s">
        <v>960</v>
      </c>
      <c r="C38" s="369">
        <f>+C39</f>
        <v>2000000</v>
      </c>
    </row>
    <row r="39" spans="1:6" ht="15" customHeight="1">
      <c r="A39" s="348" t="s">
        <v>959</v>
      </c>
      <c r="B39" s="348" t="s">
        <v>961</v>
      </c>
      <c r="C39" s="369">
        <f>+C40</f>
        <v>2000000</v>
      </c>
    </row>
    <row r="40" spans="1:6" ht="15" customHeight="1">
      <c r="A40" s="353" t="s">
        <v>962</v>
      </c>
      <c r="B40" s="353" t="s">
        <v>963</v>
      </c>
      <c r="C40" s="371">
        <f>+[1]Detalle!$G$20</f>
        <v>2000000</v>
      </c>
      <c r="F40" s="243">
        <f>+C40</f>
        <v>2000000</v>
      </c>
    </row>
    <row r="41" spans="1:6" ht="15" customHeight="1">
      <c r="A41" s="348" t="s">
        <v>964</v>
      </c>
      <c r="B41" s="348" t="s">
        <v>968</v>
      </c>
      <c r="C41" s="369">
        <f>+C42+C82+C86+C88</f>
        <v>365920000</v>
      </c>
    </row>
    <row r="42" spans="1:6" ht="15" customHeight="1">
      <c r="A42" s="348" t="s">
        <v>965</v>
      </c>
      <c r="B42" s="348" t="s">
        <v>969</v>
      </c>
      <c r="C42" s="369">
        <f>+C43+C75</f>
        <v>296914000</v>
      </c>
    </row>
    <row r="43" spans="1:6" ht="15" customHeight="1">
      <c r="A43" s="348" t="s">
        <v>966</v>
      </c>
      <c r="B43" s="348" t="s">
        <v>970</v>
      </c>
      <c r="C43" s="369">
        <f>+C44+C47+C49+C64+C73</f>
        <v>293514000</v>
      </c>
    </row>
    <row r="44" spans="1:6" ht="15" customHeight="1">
      <c r="A44" s="348" t="s">
        <v>967</v>
      </c>
      <c r="B44" s="348" t="s">
        <v>971</v>
      </c>
      <c r="C44" s="369">
        <f>+C45</f>
        <v>4750000</v>
      </c>
    </row>
    <row r="45" spans="1:6" ht="15" customHeight="1">
      <c r="A45" s="348" t="s">
        <v>985</v>
      </c>
      <c r="B45" s="348" t="s">
        <v>986</v>
      </c>
      <c r="C45" s="369">
        <f>+C46</f>
        <v>4750000</v>
      </c>
    </row>
    <row r="46" spans="1:6" ht="15" customHeight="1">
      <c r="A46" s="6" t="s">
        <v>987</v>
      </c>
      <c r="B46" s="6" t="s">
        <v>988</v>
      </c>
      <c r="C46" s="370">
        <f>+[1]Detalle!$G$21</f>
        <v>4750000</v>
      </c>
      <c r="F46" s="243">
        <f>+C46-E46</f>
        <v>4750000</v>
      </c>
    </row>
    <row r="47" spans="1:6" ht="15" customHeight="1">
      <c r="A47" s="348" t="s">
        <v>1222</v>
      </c>
      <c r="B47" s="348" t="s">
        <v>1223</v>
      </c>
      <c r="C47" s="369">
        <f>+C48</f>
        <v>0</v>
      </c>
    </row>
    <row r="48" spans="1:6" ht="15" customHeight="1">
      <c r="A48" s="6" t="s">
        <v>1224</v>
      </c>
      <c r="B48" s="6" t="s">
        <v>1225</v>
      </c>
      <c r="C48" s="370">
        <v>0</v>
      </c>
      <c r="E48" s="243">
        <f>+C48</f>
        <v>0</v>
      </c>
    </row>
    <row r="49" spans="1:6" ht="13.5" customHeight="1">
      <c r="A49" s="348" t="s">
        <v>975</v>
      </c>
      <c r="B49" s="348" t="s">
        <v>973</v>
      </c>
      <c r="C49" s="369">
        <f>+C50+C53</f>
        <v>6300000</v>
      </c>
    </row>
    <row r="50" spans="1:6" ht="15" customHeight="1">
      <c r="A50" s="348" t="s">
        <v>976</v>
      </c>
      <c r="B50" s="348" t="s">
        <v>972</v>
      </c>
      <c r="C50" s="369">
        <f>+C51+C52</f>
        <v>6300000</v>
      </c>
      <c r="F50" s="243">
        <f>+C50-E50</f>
        <v>6300000</v>
      </c>
    </row>
    <row r="51" spans="1:6" ht="14.25" customHeight="1">
      <c r="A51" s="6" t="s">
        <v>977</v>
      </c>
      <c r="B51" s="6" t="s">
        <v>974</v>
      </c>
      <c r="C51" s="370">
        <f>+[1]Detalle!$G$22</f>
        <v>6300000</v>
      </c>
      <c r="F51" s="243"/>
    </row>
    <row r="52" spans="1:6" ht="14.25" customHeight="1">
      <c r="A52" s="345" t="s">
        <v>36</v>
      </c>
      <c r="B52" s="6" t="s">
        <v>37</v>
      </c>
      <c r="C52" s="290">
        <v>0</v>
      </c>
      <c r="F52" s="243"/>
    </row>
    <row r="53" spans="1:6" ht="14.25" customHeight="1">
      <c r="A53" s="376"/>
      <c r="B53" s="353"/>
      <c r="C53" s="377">
        <v>0</v>
      </c>
      <c r="F53" s="243"/>
    </row>
    <row r="54" spans="1:6" ht="14.25" customHeight="1">
      <c r="A54" s="372"/>
      <c r="B54" s="372"/>
      <c r="C54" s="354"/>
      <c r="F54" s="243"/>
    </row>
    <row r="55" spans="1:6" ht="14.25" customHeight="1">
      <c r="A55" s="372"/>
      <c r="B55" s="372"/>
      <c r="C55" s="354"/>
      <c r="F55" s="243"/>
    </row>
    <row r="56" spans="1:6" ht="14.25" customHeight="1">
      <c r="A56" s="372"/>
      <c r="B56" s="372"/>
      <c r="C56" s="354"/>
    </row>
    <row r="57" spans="1:6" ht="14.25" customHeight="1">
      <c r="A57" s="372"/>
      <c r="B57" s="372"/>
      <c r="C57" s="354"/>
    </row>
    <row r="58" spans="1:6" ht="14.25" customHeight="1">
      <c r="A58" s="1001" t="s">
        <v>23</v>
      </c>
      <c r="B58" s="1001"/>
      <c r="C58" s="1001"/>
    </row>
    <row r="59" spans="1:6" ht="14.25" customHeight="1">
      <c r="A59" s="1001" t="s">
        <v>1350</v>
      </c>
      <c r="B59" s="1001"/>
      <c r="C59" s="1001"/>
    </row>
    <row r="60" spans="1:6" ht="14.25" customHeight="1">
      <c r="A60" s="1001"/>
      <c r="B60" s="1001"/>
      <c r="C60" s="1001"/>
    </row>
    <row r="61" spans="1:6" ht="14.25" customHeight="1">
      <c r="A61" s="1001" t="s">
        <v>116</v>
      </c>
      <c r="B61" s="1001"/>
      <c r="C61" s="1001"/>
    </row>
    <row r="62" spans="1:6" ht="14.25" customHeight="1">
      <c r="A62" s="242"/>
      <c r="B62" s="242"/>
      <c r="C62" s="242"/>
    </row>
    <row r="63" spans="1:6" ht="14.25" customHeight="1">
      <c r="A63" s="343" t="s">
        <v>1020</v>
      </c>
      <c r="B63" s="343" t="s">
        <v>1021</v>
      </c>
      <c r="C63" s="367" t="s">
        <v>1358</v>
      </c>
    </row>
    <row r="64" spans="1:6" ht="14.25" customHeight="1">
      <c r="A64" s="348" t="s">
        <v>34</v>
      </c>
      <c r="B64" s="348" t="s">
        <v>35</v>
      </c>
      <c r="C64" s="351">
        <f>+C65+C66+C68</f>
        <v>282464000</v>
      </c>
    </row>
    <row r="65" spans="1:6" ht="12.75" customHeight="1">
      <c r="A65" s="6" t="s">
        <v>983</v>
      </c>
      <c r="B65" s="6" t="s">
        <v>984</v>
      </c>
      <c r="C65" s="7">
        <v>2000</v>
      </c>
      <c r="F65" s="243">
        <f>+C65-E65</f>
        <v>2000</v>
      </c>
    </row>
    <row r="66" spans="1:6" ht="15" customHeight="1">
      <c r="A66" s="348" t="s">
        <v>981</v>
      </c>
      <c r="B66" s="348" t="s">
        <v>978</v>
      </c>
      <c r="C66" s="351">
        <f>+C67</f>
        <v>139262000</v>
      </c>
    </row>
    <row r="67" spans="1:6" ht="15" customHeight="1">
      <c r="A67" s="6" t="s">
        <v>982</v>
      </c>
      <c r="B67" s="6" t="s">
        <v>979</v>
      </c>
      <c r="C67" s="7">
        <f>+[1]Detalle!$G$23+[1]Detalle!$G$24+[1]Detalle!$G$25+[1]Detalle!$G$26+[1]Detalle!$G$27+[1]Detalle!$G$28</f>
        <v>139262000</v>
      </c>
      <c r="D67" s="243"/>
      <c r="E67" s="243">
        <f>+C67*10%</f>
        <v>13926200</v>
      </c>
      <c r="F67" s="243">
        <f>+C67-E67</f>
        <v>125335800</v>
      </c>
    </row>
    <row r="68" spans="1:6" ht="15" customHeight="1">
      <c r="A68" s="348" t="s">
        <v>1272</v>
      </c>
      <c r="B68" s="348" t="s">
        <v>1273</v>
      </c>
      <c r="C68" s="351">
        <f>SUM(C69:C72)</f>
        <v>143200000</v>
      </c>
      <c r="D68" s="243"/>
    </row>
    <row r="69" spans="1:6" ht="15" customHeight="1">
      <c r="A69" s="786" t="s">
        <v>1275</v>
      </c>
      <c r="B69" s="787" t="s">
        <v>1274</v>
      </c>
      <c r="C69" s="7">
        <f>+[1]Detalle!$G$29</f>
        <v>17600000</v>
      </c>
      <c r="D69" s="243"/>
      <c r="E69" s="243">
        <f>+C69*10%</f>
        <v>1760000</v>
      </c>
      <c r="F69" s="243">
        <f>+C69-E69</f>
        <v>15840000</v>
      </c>
    </row>
    <row r="70" spans="1:6" ht="15" customHeight="1">
      <c r="A70" s="786" t="s">
        <v>1276</v>
      </c>
      <c r="B70" s="787" t="s">
        <v>1277</v>
      </c>
      <c r="C70" s="7">
        <f>+[1]Detalle!$G$30</f>
        <v>47000000</v>
      </c>
      <c r="D70" s="243"/>
      <c r="E70" s="243">
        <f>+C70*10%</f>
        <v>4700000</v>
      </c>
      <c r="F70" s="243">
        <f>+C70-E70</f>
        <v>42300000</v>
      </c>
    </row>
    <row r="71" spans="1:6" ht="15" customHeight="1">
      <c r="A71" s="786" t="s">
        <v>1322</v>
      </c>
      <c r="B71" s="787" t="s">
        <v>1323</v>
      </c>
      <c r="C71" s="7">
        <f>(25*131000)*12</f>
        <v>39300000</v>
      </c>
      <c r="D71" s="243"/>
      <c r="F71" s="243">
        <f>+C71</f>
        <v>39300000</v>
      </c>
    </row>
    <row r="72" spans="1:6" ht="15" customHeight="1">
      <c r="A72" s="786" t="s">
        <v>1359</v>
      </c>
      <c r="B72" s="787" t="s">
        <v>1360</v>
      </c>
      <c r="C72" s="7">
        <f>(25*131000)*12</f>
        <v>39300000</v>
      </c>
      <c r="D72" s="243"/>
      <c r="F72" s="243">
        <f>+C72</f>
        <v>39300000</v>
      </c>
    </row>
    <row r="73" spans="1:6" ht="15" customHeight="1">
      <c r="A73" s="86" t="s">
        <v>1226</v>
      </c>
      <c r="B73" s="86" t="s">
        <v>1227</v>
      </c>
      <c r="C73" s="687"/>
      <c r="D73" s="243"/>
      <c r="F73" s="243"/>
    </row>
    <row r="74" spans="1:6" ht="15" customHeight="1">
      <c r="A74" s="65" t="s">
        <v>1228</v>
      </c>
      <c r="B74" s="69" t="s">
        <v>1229</v>
      </c>
      <c r="C74" s="530"/>
      <c r="D74" s="243"/>
      <c r="F74" s="243"/>
    </row>
    <row r="75" spans="1:6" ht="15" customHeight="1">
      <c r="A75" s="348" t="s">
        <v>989</v>
      </c>
      <c r="B75" s="348" t="s">
        <v>994</v>
      </c>
      <c r="C75" s="351">
        <f>+C76+C79</f>
        <v>3400000</v>
      </c>
    </row>
    <row r="76" spans="1:6" ht="15" customHeight="1">
      <c r="A76" s="348" t="s">
        <v>990</v>
      </c>
      <c r="B76" s="348" t="s">
        <v>38</v>
      </c>
      <c r="C76" s="351">
        <f>+C77</f>
        <v>3000000</v>
      </c>
      <c r="D76" s="243"/>
    </row>
    <row r="77" spans="1:6" ht="15" customHeight="1">
      <c r="A77" s="348" t="s">
        <v>991</v>
      </c>
      <c r="B77" s="348" t="s">
        <v>33</v>
      </c>
      <c r="C77" s="351">
        <f>+C78</f>
        <v>3000000</v>
      </c>
      <c r="F77" s="243">
        <f>+C77-E77</f>
        <v>3000000</v>
      </c>
    </row>
    <row r="78" spans="1:6" ht="15" customHeight="1">
      <c r="A78" s="6" t="s">
        <v>996</v>
      </c>
      <c r="B78" s="6" t="s">
        <v>992</v>
      </c>
      <c r="C78" s="7">
        <f>+[1]Detalle!$G$32</f>
        <v>3000000</v>
      </c>
    </row>
    <row r="79" spans="1:6" ht="15" customHeight="1">
      <c r="A79" s="348" t="s">
        <v>998</v>
      </c>
      <c r="B79" s="348" t="s">
        <v>39</v>
      </c>
      <c r="C79" s="351">
        <f>+C80</f>
        <v>400000</v>
      </c>
    </row>
    <row r="80" spans="1:6" ht="15" customHeight="1">
      <c r="A80" s="348" t="s">
        <v>997</v>
      </c>
      <c r="B80" s="348" t="s">
        <v>1000</v>
      </c>
      <c r="C80" s="351">
        <f>+C81</f>
        <v>400000</v>
      </c>
    </row>
    <row r="81" spans="1:9" ht="15" customHeight="1">
      <c r="A81" s="6" t="s">
        <v>999</v>
      </c>
      <c r="B81" s="6" t="s">
        <v>1004</v>
      </c>
      <c r="C81" s="7">
        <f>+[1]Detalle!$G$33</f>
        <v>400000</v>
      </c>
      <c r="F81" s="243">
        <f>+C81-E81</f>
        <v>400000</v>
      </c>
    </row>
    <row r="82" spans="1:9" ht="15" customHeight="1">
      <c r="A82" s="348" t="s">
        <v>1012</v>
      </c>
      <c r="B82" s="348" t="s">
        <v>1013</v>
      </c>
      <c r="C82" s="351">
        <f>+C83</f>
        <v>1273000</v>
      </c>
    </row>
    <row r="83" spans="1:9" ht="15" customHeight="1">
      <c r="A83" s="348" t="s">
        <v>1014</v>
      </c>
      <c r="B83" s="348" t="s">
        <v>1015</v>
      </c>
      <c r="C83" s="351">
        <f>+C84</f>
        <v>1273000</v>
      </c>
    </row>
    <row r="84" spans="1:9" ht="15" customHeight="1">
      <c r="A84" s="348" t="s">
        <v>1016</v>
      </c>
      <c r="B84" s="348" t="s">
        <v>1017</v>
      </c>
      <c r="C84" s="351">
        <f>+C85</f>
        <v>1273000</v>
      </c>
    </row>
    <row r="85" spans="1:9" ht="15" customHeight="1">
      <c r="A85" s="6" t="s">
        <v>1018</v>
      </c>
      <c r="B85" s="6" t="s">
        <v>1019</v>
      </c>
      <c r="C85" s="7">
        <f>+[1]Detalle!$G$34</f>
        <v>1273000</v>
      </c>
      <c r="E85" s="243">
        <f>+C85</f>
        <v>1273000</v>
      </c>
    </row>
    <row r="86" spans="1:9" ht="15" customHeight="1">
      <c r="A86" s="348" t="s">
        <v>1005</v>
      </c>
      <c r="B86" s="348" t="s">
        <v>1010</v>
      </c>
      <c r="C86" s="351">
        <f>+C87</f>
        <v>48000000</v>
      </c>
    </row>
    <row r="87" spans="1:9" ht="15" customHeight="1">
      <c r="A87" s="6" t="s">
        <v>1009</v>
      </c>
      <c r="B87" s="6" t="s">
        <v>1011</v>
      </c>
      <c r="C87" s="7">
        <f>+[1]Detalle!$G$36</f>
        <v>48000000</v>
      </c>
      <c r="E87" s="243">
        <f>+C87</f>
        <v>48000000</v>
      </c>
    </row>
    <row r="88" spans="1:9" ht="15" customHeight="1">
      <c r="A88" s="348" t="s">
        <v>27</v>
      </c>
      <c r="B88" s="348" t="s">
        <v>28</v>
      </c>
      <c r="C88" s="352">
        <f>+C89</f>
        <v>19733000</v>
      </c>
    </row>
    <row r="89" spans="1:9" ht="15" customHeight="1">
      <c r="A89" s="348" t="s">
        <v>29</v>
      </c>
      <c r="B89" s="348" t="s">
        <v>30</v>
      </c>
      <c r="C89" s="352">
        <f>+C90+C91</f>
        <v>19733000</v>
      </c>
    </row>
    <row r="90" spans="1:9" ht="15" customHeight="1">
      <c r="A90" s="6" t="s">
        <v>1228</v>
      </c>
      <c r="B90" s="6" t="s">
        <v>31</v>
      </c>
      <c r="C90" s="239">
        <f>+[1]Detalle!$G$37</f>
        <v>3733000</v>
      </c>
      <c r="E90" s="243">
        <f>+C90</f>
        <v>3733000</v>
      </c>
    </row>
    <row r="91" spans="1:9" ht="15" customHeight="1">
      <c r="A91" s="6" t="s">
        <v>29</v>
      </c>
      <c r="B91" s="6" t="s">
        <v>237</v>
      </c>
      <c r="C91" s="239">
        <f>+[1]Detalle!$G$38</f>
        <v>16000000</v>
      </c>
      <c r="E91" s="243">
        <f>+C91</f>
        <v>16000000</v>
      </c>
    </row>
    <row r="92" spans="1:9" ht="15" customHeight="1">
      <c r="A92" s="348" t="s">
        <v>2</v>
      </c>
      <c r="B92" s="348" t="s">
        <v>4</v>
      </c>
      <c r="C92" s="351">
        <f>+C93</f>
        <v>15509106.34</v>
      </c>
      <c r="F92" s="243"/>
    </row>
    <row r="93" spans="1:9" ht="14.25" customHeight="1">
      <c r="A93" s="348" t="s">
        <v>3</v>
      </c>
      <c r="B93" s="348" t="s">
        <v>40</v>
      </c>
      <c r="C93" s="351">
        <f>+C94+C96</f>
        <v>15509106.34</v>
      </c>
      <c r="D93" s="846"/>
      <c r="F93" s="243"/>
    </row>
    <row r="94" spans="1:9" ht="15" customHeight="1">
      <c r="A94" s="348" t="s">
        <v>0</v>
      </c>
      <c r="B94" s="348" t="s">
        <v>5</v>
      </c>
      <c r="C94" s="351">
        <f>+C95</f>
        <v>8085227.21</v>
      </c>
      <c r="D94" s="846"/>
      <c r="F94" s="243"/>
    </row>
    <row r="95" spans="1:9" ht="15" customHeight="1">
      <c r="A95" s="6" t="s">
        <v>1</v>
      </c>
      <c r="B95" s="6" t="s">
        <v>1286</v>
      </c>
      <c r="C95" s="853">
        <v>8085227.21</v>
      </c>
      <c r="D95" s="847"/>
      <c r="F95" s="243"/>
      <c r="G95" s="679">
        <f>+C95</f>
        <v>8085227.21</v>
      </c>
      <c r="H95" s="243"/>
      <c r="I95" s="243"/>
    </row>
    <row r="96" spans="1:9" ht="15" customHeight="1">
      <c r="A96" s="348" t="s">
        <v>6</v>
      </c>
      <c r="B96" s="348" t="s">
        <v>41</v>
      </c>
      <c r="C96" s="351">
        <f>+C97</f>
        <v>7423879.1299999999</v>
      </c>
      <c r="D96" s="848"/>
      <c r="F96" s="243"/>
      <c r="G96" s="243"/>
      <c r="H96" s="243"/>
      <c r="I96" s="243"/>
    </row>
    <row r="97" spans="1:9" ht="13.5" customHeight="1">
      <c r="A97" s="6" t="s">
        <v>8</v>
      </c>
      <c r="B97" s="6" t="s">
        <v>9</v>
      </c>
      <c r="C97" s="844">
        <f>3970315.01+3453564.12</f>
        <v>7423879.1299999999</v>
      </c>
      <c r="D97" s="848"/>
      <c r="E97" s="243">
        <f>+C97</f>
        <v>7423879.1299999999</v>
      </c>
      <c r="F97" s="243"/>
      <c r="G97" s="243"/>
      <c r="H97" s="243"/>
      <c r="I97" s="243"/>
    </row>
    <row r="98" spans="1:9" ht="15" customHeight="1">
      <c r="A98" s="348" t="s">
        <v>10</v>
      </c>
      <c r="B98" s="348" t="s">
        <v>11</v>
      </c>
      <c r="C98" s="351">
        <f>+C99</f>
        <v>2095230185</v>
      </c>
      <c r="D98" s="846"/>
      <c r="F98" s="243"/>
      <c r="G98" s="243"/>
      <c r="H98" s="243"/>
      <c r="I98" s="243"/>
    </row>
    <row r="99" spans="1:9" ht="13.5" customHeight="1">
      <c r="A99" s="348" t="s">
        <v>13</v>
      </c>
      <c r="B99" s="348" t="s">
        <v>16</v>
      </c>
      <c r="C99" s="351">
        <f>+C100</f>
        <v>2095230185</v>
      </c>
      <c r="D99" s="846"/>
      <c r="F99" s="243"/>
      <c r="G99" s="243"/>
      <c r="H99" s="243"/>
      <c r="I99" s="243"/>
    </row>
    <row r="100" spans="1:9" ht="15" customHeight="1">
      <c r="A100" s="348" t="s">
        <v>14</v>
      </c>
      <c r="B100" s="348" t="s">
        <v>17</v>
      </c>
      <c r="C100" s="351">
        <f>+C101+C104</f>
        <v>2095230185</v>
      </c>
      <c r="D100" s="846"/>
      <c r="F100" s="243"/>
      <c r="G100" s="243"/>
      <c r="H100" s="243"/>
      <c r="I100" s="243"/>
    </row>
    <row r="101" spans="1:9" ht="15" customHeight="1">
      <c r="A101" s="348" t="s">
        <v>12</v>
      </c>
      <c r="B101" s="348" t="s">
        <v>18</v>
      </c>
      <c r="C101" s="351">
        <f>+C102+C103</f>
        <v>2094199674.9300001</v>
      </c>
      <c r="D101" s="846"/>
      <c r="F101" s="243"/>
      <c r="G101" s="243"/>
      <c r="H101" s="243"/>
      <c r="I101" s="243"/>
    </row>
    <row r="102" spans="1:9" ht="15" customHeight="1">
      <c r="A102" s="6" t="s">
        <v>19</v>
      </c>
      <c r="B102" s="6" t="s">
        <v>21</v>
      </c>
      <c r="C102" s="845">
        <v>2067899674.9300001</v>
      </c>
      <c r="D102" s="849"/>
      <c r="F102" s="243"/>
      <c r="G102" s="679">
        <f>+C102</f>
        <v>2067899674.9300001</v>
      </c>
      <c r="H102" s="243"/>
      <c r="I102" s="243"/>
    </row>
    <row r="103" spans="1:9" ht="15" customHeight="1">
      <c r="A103" s="353" t="s">
        <v>1230</v>
      </c>
      <c r="B103" s="353" t="s">
        <v>1231</v>
      </c>
      <c r="C103" s="854">
        <v>26300000</v>
      </c>
      <c r="D103" s="848"/>
      <c r="E103" s="243">
        <f>+C103</f>
        <v>26300000</v>
      </c>
      <c r="F103" s="243"/>
      <c r="G103" s="243"/>
      <c r="H103" s="243"/>
      <c r="I103" s="243"/>
    </row>
    <row r="104" spans="1:9" ht="15" customHeight="1">
      <c r="A104" s="348" t="s">
        <v>15</v>
      </c>
      <c r="B104" s="348" t="s">
        <v>32</v>
      </c>
      <c r="C104" s="351">
        <f>+C105+C106</f>
        <v>1030510.07</v>
      </c>
      <c r="D104" s="848"/>
      <c r="F104" s="243"/>
      <c r="G104" s="243"/>
      <c r="H104" s="243"/>
      <c r="I104" s="243"/>
    </row>
    <row r="105" spans="1:9" ht="15" customHeight="1">
      <c r="A105" s="6" t="s">
        <v>20</v>
      </c>
      <c r="B105" s="6" t="s">
        <v>22</v>
      </c>
      <c r="C105" s="844">
        <v>1030510.07</v>
      </c>
      <c r="D105" s="846"/>
      <c r="F105" s="243">
        <f>+C105-E105</f>
        <v>1030510.07</v>
      </c>
      <c r="G105" s="243"/>
      <c r="H105" s="243"/>
      <c r="I105" s="243"/>
    </row>
    <row r="106" spans="1:9" ht="15" customHeight="1">
      <c r="A106" s="787"/>
      <c r="B106" s="787"/>
      <c r="C106" s="351"/>
      <c r="D106" s="846"/>
      <c r="F106" s="679">
        <f>+C106</f>
        <v>0</v>
      </c>
      <c r="G106" s="679">
        <v>0</v>
      </c>
    </row>
    <row r="107" spans="1:9" ht="15" customHeight="1">
      <c r="A107" s="6"/>
      <c r="B107" s="6"/>
      <c r="C107" s="374"/>
      <c r="D107" s="518"/>
    </row>
    <row r="108" spans="1:9" ht="10.5" customHeight="1">
      <c r="A108" s="346"/>
      <c r="B108" s="346"/>
      <c r="C108" s="240"/>
    </row>
    <row r="109" spans="1:9" ht="15" customHeight="1">
      <c r="A109" s="5" t="s">
        <v>24</v>
      </c>
      <c r="B109" s="347"/>
      <c r="C109" s="241">
        <f>+C8+C98</f>
        <v>3001086291.3400002</v>
      </c>
    </row>
    <row r="110" spans="1:9" ht="15" customHeight="1">
      <c r="E110" s="243">
        <f>SUM(E9:E108)</f>
        <v>313562079.13</v>
      </c>
      <c r="F110" s="819">
        <f>SUM(F8:F106)</f>
        <v>611539310.07000005</v>
      </c>
      <c r="G110" s="243">
        <f>SUM(G8:G106)</f>
        <v>2075984902.1400001</v>
      </c>
    </row>
    <row r="111" spans="1:9" ht="15" customHeight="1">
      <c r="C111" s="375">
        <f>+'Ingreso Contraloría'!C7</f>
        <v>3001086291.3400002</v>
      </c>
      <c r="E111" s="243">
        <f>+'Distribucion Programas I'!C8+'Distribucion Programas I'!D8</f>
        <v>368168075.59585333</v>
      </c>
      <c r="F111" s="819">
        <f>+'Distribucion Programas II '!Q10+Tranferencias!E29</f>
        <v>555783313.60762262</v>
      </c>
    </row>
    <row r="112" spans="1:9" ht="15" customHeight="1">
      <c r="C112" s="243">
        <f>+C109-C111</f>
        <v>0</v>
      </c>
      <c r="E112" s="243">
        <f>+E111-E110</f>
        <v>54605996.465853333</v>
      </c>
      <c r="F112" s="518">
        <f>+F110-F111</f>
        <v>55755996.462377429</v>
      </c>
      <c r="G112" s="867">
        <f>+'Distribucion Programas III UTGV'!C9+'Distribucion Programas III UTGV'!E9+'Distrib Programas III Poyectos'!Y53+'Distrib Programas III Poyectos'!Y54+'Distrib Programas III Poyectos'!Y55</f>
        <v>2077134902.1400001</v>
      </c>
    </row>
    <row r="113" spans="3:7" ht="15" customHeight="1">
      <c r="C113" s="243">
        <f>+C103*100/C109</f>
        <v>0.87634934309925883</v>
      </c>
      <c r="F113" s="867">
        <f>+'Distribucion Programas II '!R8</f>
        <v>54605996.4647035</v>
      </c>
      <c r="G113" s="518">
        <f>+G112-G110</f>
        <v>1150000</v>
      </c>
    </row>
    <row r="114" spans="3:7" ht="15" customHeight="1">
      <c r="F114" s="518">
        <f>+F112-F113</f>
        <v>1149999.9976739287</v>
      </c>
    </row>
    <row r="115" spans="3:7" ht="15" customHeight="1">
      <c r="C115" s="874"/>
      <c r="F115" s="243"/>
    </row>
    <row r="116" spans="3:7" ht="15" customHeight="1">
      <c r="C116" s="874"/>
      <c r="F116" s="243"/>
    </row>
    <row r="117" spans="3:7" ht="15" customHeight="1">
      <c r="F117" s="243"/>
    </row>
    <row r="118" spans="3:7" ht="15" customHeight="1">
      <c r="F118" s="243"/>
    </row>
    <row r="119" spans="3:7" ht="15" customHeight="1">
      <c r="F119" s="243"/>
    </row>
    <row r="120" spans="3:7" ht="15" customHeight="1">
      <c r="F120" s="243"/>
    </row>
    <row r="121" spans="3:7" ht="15" customHeight="1">
      <c r="F121" s="518"/>
    </row>
    <row r="125" spans="3:7" ht="15" customHeight="1">
      <c r="F125" s="243"/>
    </row>
    <row r="126" spans="3:7" ht="15" customHeight="1">
      <c r="F126" s="243"/>
    </row>
    <row r="127" spans="3:7" ht="15" customHeight="1">
      <c r="F127" s="243"/>
    </row>
    <row r="128" spans="3:7" ht="15" customHeight="1">
      <c r="F128" s="243"/>
    </row>
    <row r="129" spans="6:6" s="1" customFormat="1" ht="15" customHeight="1">
      <c r="F129" s="243"/>
    </row>
    <row r="130" spans="6:6" s="1" customFormat="1" ht="15" customHeight="1">
      <c r="F130" s="243"/>
    </row>
    <row r="131" spans="6:6" s="1" customFormat="1" ht="15" customHeight="1">
      <c r="F131" s="243"/>
    </row>
    <row r="132" spans="6:6" s="1" customFormat="1" ht="15" customHeight="1">
      <c r="F132" s="518"/>
    </row>
  </sheetData>
  <mergeCells count="8">
    <mergeCell ref="A60:C60"/>
    <mergeCell ref="A61:C61"/>
    <mergeCell ref="A4:C4"/>
    <mergeCell ref="A3:C3"/>
    <mergeCell ref="A1:C1"/>
    <mergeCell ref="A2:C2"/>
    <mergeCell ref="A58:C58"/>
    <mergeCell ref="A59:C59"/>
  </mergeCells>
  <phoneticPr fontId="3" type="noConversion"/>
  <hyperlinks>
    <hyperlink ref="A9" location="_1.1.0.0.00.00.0.0.000___INGRESOS TR" display="_1.1.0.0.00.00.0.0.000___INGRESOS TR" xr:uid="{00000000-0004-0000-0100-000000000000}"/>
    <hyperlink ref="A10" location="_1.1.2.0.00.00.0.0.000___IMPUESTOS  " display="_1.1.2.0.00.00.0.0.000___IMPUESTOS  " xr:uid="{00000000-0004-0000-0100-000001000000}"/>
    <hyperlink ref="A18" location="_1.1.3.2.00.00.0.0.000___IMPUESTOS E" display="_1.1.3.2.00.00.0.0.000___IMPUESTOS E" xr:uid="{00000000-0004-0000-0100-000002000000}"/>
    <hyperlink ref="B19" location="_1.1.3.2.00.00.0.0.000___IMPUESTOS E" display="_1.1.3.2.00.00.0.0.000___IMPUESTOS E" xr:uid="{00000000-0004-0000-0100-000003000000}"/>
    <hyperlink ref="A20" location="_1.1.3.2.01.00.0.0.000___IMPUESTOS  " display="_1.1.3.2.01.00.0.0.000___IMPUESTOS  " xr:uid="{00000000-0004-0000-0100-000004000000}"/>
    <hyperlink ref="A21" location="_1.1.3.2.01.00.0.0.000___IMPUESTOS  " display="_1.1.3.2.01.00.0.0.000___IMPUESTOS  " xr:uid="{00000000-0004-0000-0100-000005000000}"/>
    <hyperlink ref="A25" location="_1.1.3.2.02.00.0.0.000___IMPUESTOS E" display="_1.1.3.2.02.00.0.0.000___IMPUESTOS E" xr:uid="{00000000-0004-0000-0100-000006000000}"/>
    <hyperlink ref="A26" location="_1.1.3.2.02.00.0.0.000___IMPUESTOS E" display="_1.1.3.2.02.00.0.0.000___IMPUESTOS E" xr:uid="{00000000-0004-0000-0100-000007000000}"/>
    <hyperlink ref="A27" location="_1.1.3.2.02.03.0.0.000__" display="_1.1.3.2.02.03.0.0.000__" xr:uid="{00000000-0004-0000-0100-000008000000}"/>
    <hyperlink ref="A28" location="_1.1.3.2.02.03.0.0.000__" display="_1.1.3.2.02.03.0.0.000__" xr:uid="{00000000-0004-0000-0100-000009000000}"/>
    <hyperlink ref="A31" location="_1.1.3.3.00.00.0.0.000__OTROS_IMPUES" display="_1.1.3.3.00.00.0.0.000__OTROS_IMPUES" xr:uid="{00000000-0004-0000-0100-00000A000000}"/>
    <hyperlink ref="A32" location="_1.1.3.3.01.00.0.0.000__Licencias_  " display="_1.1.3.3.01.00.0.0.000__Licencias_  " xr:uid="{00000000-0004-0000-0100-00000B000000}"/>
    <hyperlink ref="A38" location="_1.1.9.0.00.00.0.0.000___OTROS INGRE" display="_1.1.9.0.00.00.0.0.000___OTROS INGRE" xr:uid="{00000000-0004-0000-0100-00000C000000}"/>
    <hyperlink ref="A39" location="_1.1.9.1.00.00.0.0.000___IMPUESTO DE" display="_1.1.9.1.00.00.0.0.000___IMPUESTO DE" xr:uid="{00000000-0004-0000-0100-00000D000000}"/>
    <hyperlink ref="A41" location="_1.3.0.0.00.00.0.0.000___INGRESOS NO" display="_1.3.0.0.00.00.0.0.000___INGRESOS NO" xr:uid="{00000000-0004-0000-0100-00000E000000}"/>
    <hyperlink ref="A42" location="_1.3.1.0.00.00.0.0.000___VENTA DE BI" display="_1.3.1.0.00.00.0.0.000___VENTA DE BI" xr:uid="{00000000-0004-0000-0100-00000F000000}"/>
    <hyperlink ref="A43" location="_1.3.1.2.00.00.0.0.000__" display="_1.3.1.2.00.00.0.0.000__" xr:uid="{00000000-0004-0000-0100-000010000000}"/>
    <hyperlink ref="A44" location="_1.3.1.2.01.00.0.0.000__SERVICIOS_DE" display="_1.3.1.2.01.00.0.0.000__SERVICIOS_DE" xr:uid="{00000000-0004-0000-0100-000011000000}"/>
    <hyperlink ref="A50" location="_1.3.1.2.04.01.0.0.000___Alquiler de" display="_1.3.1.2.04.01.0.0.000___Alquiler de" xr:uid="{00000000-0004-0000-0100-000012000000}"/>
    <hyperlink ref="A51" location="_1.3.1.2.04.01.0.0.000___Alquiler de" display="_1.3.1.2.04.01.0.0.000___Alquiler de" xr:uid="{00000000-0004-0000-0100-000013000000}"/>
    <hyperlink ref="A49" location="_1.3.1.2.04.00.0.0.000__" display="_1.3.1.2.04.00.0.0.000__" xr:uid="{00000000-0004-0000-0100-000014000000}"/>
    <hyperlink ref="A66" location="_1.3.1.2.05.04.0.0.000___Servicios d" display="_1.3.1.2.05.04.0.0.000___Servicios d" xr:uid="{00000000-0004-0000-0100-000015000000}"/>
    <hyperlink ref="A67" location="_1.3.1.2.05.04.0.0.000___Servicios d" display="_1.3.1.2.05.04.0.0.000___Servicios d" xr:uid="{00000000-0004-0000-0100-000016000000}"/>
    <hyperlink ref="A65" location="_1.3.1.2.05.04.0.0.000___Servicios d" display="_1.3.1.2.05.04.0.0.000___Servicios d" xr:uid="{00000000-0004-0000-0100-000017000000}"/>
    <hyperlink ref="A75" location="_1.3.1.3.00.00.0.0.000__" display="_1.3.1.3.00.00.0.0.000__" xr:uid="{00000000-0004-0000-0100-000018000000}"/>
    <hyperlink ref="A76" location="_1.3.1.3.01.00.0.0.000___DERECHOS AD" display="_1.3.1.3.01.00.0.0.000___DERECHOS AD" xr:uid="{00000000-0004-0000-0100-000019000000}"/>
    <hyperlink ref="A77" location="_1.3.1.3.01.01.0.0.000__" display="_1.3.1.3.01.01.0.0.000__" xr:uid="{00000000-0004-0000-0100-00001A000000}"/>
    <hyperlink ref="A78" location="_1.3.1.3.01.01.0.0.000__" display="_1.3.1.3.01.01.0.0.000__" xr:uid="{00000000-0004-0000-0100-00001B000000}"/>
    <hyperlink ref="A80" location="_1.3.1.3.02.09.0.0.000__" display="_1.3.1.3.02.09.0.0.000__" xr:uid="{00000000-0004-0000-0100-00001C000000}"/>
    <hyperlink ref="A81" location="_1.3.1.3.02.09.0.0.000__" display="_1.3.1.3.02.09.0.0.000__" xr:uid="{00000000-0004-0000-0100-00001D000000}"/>
    <hyperlink ref="A79" location="_1.3.1.3.02.00.0.0.000___DERECHOS AD" display="_1.3.1.3.02.00.0.0.000___DERECHOS AD" xr:uid="{00000000-0004-0000-0100-00001E000000}"/>
    <hyperlink ref="A86" location="_1.3.4.0.00.00.0.0.000___INTERESES M" display="_1.3.4.0.00.00.0.0.000___INTERESES M" xr:uid="{00000000-0004-0000-0100-00001F000000}"/>
    <hyperlink ref="A87" location="_1.3.4.1.00.00.0.0.000___Intereses m" display="_1.3.4.1.00.00.0.0.000___Intereses m" xr:uid="{00000000-0004-0000-0100-000020000000}"/>
    <hyperlink ref="A92" location="_1.4.0.0.00.00.0.0.000_TRANSFERENCIA" display="_1.4.0.0.00.00.0.0.000_TRANSFERENCIA" xr:uid="{00000000-0004-0000-0100-000021000000}"/>
    <hyperlink ref="A93" location="_1.4.1.1.00.00.0.0.000__TRANSFERENCIAS" display="_1.4.1.1.00.00.0.0.000__TRANSFERENCIAS" xr:uid="{00000000-0004-0000-0100-000022000000}"/>
    <hyperlink ref="A98" location="_2.0.0.0.00.00.0.0.000___INGRESOS DE" display="_2.0.0.0.00.00.0.0.000___INGRESOS DE" xr:uid="{00000000-0004-0000-0100-000023000000}"/>
    <hyperlink ref="A99" location="_2.4.0.0.00.00.0.0.000__" display="_2.4.0.0.00.00.0.0.000__" xr:uid="{00000000-0004-0000-0100-000024000000}"/>
    <hyperlink ref="A100" location="_2.4.1.1.00.00.0.0.000___TRANSFERENC" display="_2.4.1.1.00.00.0.0.000___TRANSFERENC" xr:uid="{00000000-0004-0000-0100-000025000000}"/>
    <hyperlink ref="A22" location="_1.1.3.2.01.04.0.0.000___Impuestos e" display="_1.1.3.2.01.04.0.0.000___Impuestos e" xr:uid="{00000000-0004-0000-0100-000026000000}"/>
    <hyperlink ref="A23" location="_1.1.3.2.01.04.0.0.000___Impuestos e" display="_1.1.3.2.01.04.0.0.000___Impuestos e" xr:uid="{00000000-0004-0000-0100-000027000000}"/>
    <hyperlink ref="A52" location="_1.3.1.2.04.01.0.0.000___Alquiler de" display="_1.3.1.2.04.01.0.0.000___Alquiler de" xr:uid="{00000000-0004-0000-0100-000028000000}"/>
    <hyperlink ref="A24" location="_1.1.3.2.01.04.0.0.000___Impuestos e" display="_1.1.3.2.01.04.0.0.000___Impuestos e" xr:uid="{00000000-0004-0000-0100-000029000000}"/>
    <hyperlink ref="A40" location="_1.1.9.1.00.00.0.0.000___IMPUESTO DE" display="_1.1.9.1.00.00.0.0.000___IMPUESTO DE" xr:uid="{00000000-0004-0000-0100-00002A000000}"/>
    <hyperlink ref="A68" location="_1.3.1.2.05.04.0.0.000___Servicios d" display="_1.3.1.2.05.04.0.0.000___Servicios d" xr:uid="{00000000-0004-0000-0100-00002B000000}"/>
    <hyperlink ref="A69:A70" location="_1.3.1.2.05.04.0.0.000___Servicios d" display="_1.3.1.2.05.04.0.0.000___Servicios d" xr:uid="{00000000-0004-0000-0100-00002C000000}"/>
  </hyperlinks>
  <printOptions horizontalCentered="1"/>
  <pageMargins left="0.19685039370078741" right="0.19685039370078741" top="0.39370078740157483" bottom="0.39370078740157483" header="0" footer="0"/>
  <pageSetup scale="90" orientation="landscape" horizontalDpi="4294967294" verticalDpi="144" r:id="rId1"/>
  <headerFooter alignWithMargins="0">
    <oddHeader>&amp;R&amp;P</oddHeader>
    <oddFooter>&amp;L&amp;Z&amp;F</oddFooter>
  </headerFooter>
  <ignoredErrors>
    <ignoredError sqref="F113" formula="1"/>
  </ignoredError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88"/>
  <sheetViews>
    <sheetView workbookViewId="0">
      <selection activeCell="J1" sqref="J1"/>
    </sheetView>
  </sheetViews>
  <sheetFormatPr baseColWidth="10" defaultColWidth="11.5703125" defaultRowHeight="12"/>
  <cols>
    <col min="1" max="1" width="10.7109375" style="11" customWidth="1"/>
    <col min="2" max="3" width="7.5703125" style="11" customWidth="1"/>
    <col min="4" max="4" width="27.140625" style="11" customWidth="1"/>
    <col min="5" max="5" width="10.85546875" style="11" customWidth="1"/>
    <col min="6" max="6" width="11.42578125" style="11" customWidth="1"/>
    <col min="7" max="7" width="9.7109375" style="11" customWidth="1"/>
    <col min="8" max="8" width="9" style="11" customWidth="1"/>
    <col min="9" max="9" width="6.7109375" style="11" bestFit="1" customWidth="1"/>
    <col min="10" max="10" width="13.28515625" style="11" customWidth="1"/>
    <col min="11" max="11" width="13.42578125" style="194" bestFit="1" customWidth="1"/>
    <col min="12" max="12" width="2.5703125" style="13" customWidth="1"/>
    <col min="13" max="13" width="17" style="11" customWidth="1"/>
    <col min="14" max="14" width="12.42578125" style="11" bestFit="1" customWidth="1"/>
    <col min="15" max="256" width="11.5703125" style="11"/>
    <col min="257" max="257" width="7.7109375" style="11" customWidth="1"/>
    <col min="258" max="259" width="7.5703125" style="11" customWidth="1"/>
    <col min="260" max="260" width="29.42578125" style="11" customWidth="1"/>
    <col min="261" max="261" width="10.85546875" style="11" customWidth="1"/>
    <col min="262" max="262" width="11.42578125" style="11" customWidth="1"/>
    <col min="263" max="263" width="9.7109375" style="11" customWidth="1"/>
    <col min="264" max="264" width="9" style="11" customWidth="1"/>
    <col min="265" max="265" width="6.7109375" style="11" bestFit="1" customWidth="1"/>
    <col min="266" max="266" width="13.28515625" style="11" customWidth="1"/>
    <col min="267" max="267" width="13.42578125" style="11" bestFit="1" customWidth="1"/>
    <col min="268" max="268" width="2.5703125" style="11" customWidth="1"/>
    <col min="269" max="269" width="17" style="11" customWidth="1"/>
    <col min="270" max="270" width="12.42578125" style="11" bestFit="1" customWidth="1"/>
    <col min="271" max="512" width="11.5703125" style="11"/>
    <col min="513" max="513" width="7.7109375" style="11" customWidth="1"/>
    <col min="514" max="515" width="7.5703125" style="11" customWidth="1"/>
    <col min="516" max="516" width="29.42578125" style="11" customWidth="1"/>
    <col min="517" max="517" width="10.85546875" style="11" customWidth="1"/>
    <col min="518" max="518" width="11.42578125" style="11" customWidth="1"/>
    <col min="519" max="519" width="9.7109375" style="11" customWidth="1"/>
    <col min="520" max="520" width="9" style="11" customWidth="1"/>
    <col min="521" max="521" width="6.7109375" style="11" bestFit="1" customWidth="1"/>
    <col min="522" max="522" width="13.28515625" style="11" customWidth="1"/>
    <col min="523" max="523" width="13.42578125" style="11" bestFit="1" customWidth="1"/>
    <col min="524" max="524" width="2.5703125" style="11" customWidth="1"/>
    <col min="525" max="525" width="17" style="11" customWidth="1"/>
    <col min="526" max="526" width="12.42578125" style="11" bestFit="1" customWidth="1"/>
    <col min="527" max="768" width="11.5703125" style="11"/>
    <col min="769" max="769" width="7.7109375" style="11" customWidth="1"/>
    <col min="770" max="771" width="7.5703125" style="11" customWidth="1"/>
    <col min="772" max="772" width="29.42578125" style="11" customWidth="1"/>
    <col min="773" max="773" width="10.85546875" style="11" customWidth="1"/>
    <col min="774" max="774" width="11.42578125" style="11" customWidth="1"/>
    <col min="775" max="775" width="9.7109375" style="11" customWidth="1"/>
    <col min="776" max="776" width="9" style="11" customWidth="1"/>
    <col min="777" max="777" width="6.7109375" style="11" bestFit="1" customWidth="1"/>
    <col min="778" max="778" width="13.28515625" style="11" customWidth="1"/>
    <col min="779" max="779" width="13.42578125" style="11" bestFit="1" customWidth="1"/>
    <col min="780" max="780" width="2.5703125" style="11" customWidth="1"/>
    <col min="781" max="781" width="17" style="11" customWidth="1"/>
    <col min="782" max="782" width="12.42578125" style="11" bestFit="1" customWidth="1"/>
    <col min="783" max="1024" width="11.5703125" style="11"/>
    <col min="1025" max="1025" width="7.7109375" style="11" customWidth="1"/>
    <col min="1026" max="1027" width="7.5703125" style="11" customWidth="1"/>
    <col min="1028" max="1028" width="29.42578125" style="11" customWidth="1"/>
    <col min="1029" max="1029" width="10.85546875" style="11" customWidth="1"/>
    <col min="1030" max="1030" width="11.42578125" style="11" customWidth="1"/>
    <col min="1031" max="1031" width="9.7109375" style="11" customWidth="1"/>
    <col min="1032" max="1032" width="9" style="11" customWidth="1"/>
    <col min="1033" max="1033" width="6.7109375" style="11" bestFit="1" customWidth="1"/>
    <col min="1034" max="1034" width="13.28515625" style="11" customWidth="1"/>
    <col min="1035" max="1035" width="13.42578125" style="11" bestFit="1" customWidth="1"/>
    <col min="1036" max="1036" width="2.5703125" style="11" customWidth="1"/>
    <col min="1037" max="1037" width="17" style="11" customWidth="1"/>
    <col min="1038" max="1038" width="12.42578125" style="11" bestFit="1" customWidth="1"/>
    <col min="1039" max="1280" width="11.5703125" style="11"/>
    <col min="1281" max="1281" width="7.7109375" style="11" customWidth="1"/>
    <col min="1282" max="1283" width="7.5703125" style="11" customWidth="1"/>
    <col min="1284" max="1284" width="29.42578125" style="11" customWidth="1"/>
    <col min="1285" max="1285" width="10.85546875" style="11" customWidth="1"/>
    <col min="1286" max="1286" width="11.42578125" style="11" customWidth="1"/>
    <col min="1287" max="1287" width="9.7109375" style="11" customWidth="1"/>
    <col min="1288" max="1288" width="9" style="11" customWidth="1"/>
    <col min="1289" max="1289" width="6.7109375" style="11" bestFit="1" customWidth="1"/>
    <col min="1290" max="1290" width="13.28515625" style="11" customWidth="1"/>
    <col min="1291" max="1291" width="13.42578125" style="11" bestFit="1" customWidth="1"/>
    <col min="1292" max="1292" width="2.5703125" style="11" customWidth="1"/>
    <col min="1293" max="1293" width="17" style="11" customWidth="1"/>
    <col min="1294" max="1294" width="12.42578125" style="11" bestFit="1" customWidth="1"/>
    <col min="1295" max="1536" width="11.5703125" style="11"/>
    <col min="1537" max="1537" width="7.7109375" style="11" customWidth="1"/>
    <col min="1538" max="1539" width="7.5703125" style="11" customWidth="1"/>
    <col min="1540" max="1540" width="29.42578125" style="11" customWidth="1"/>
    <col min="1541" max="1541" width="10.85546875" style="11" customWidth="1"/>
    <col min="1542" max="1542" width="11.42578125" style="11" customWidth="1"/>
    <col min="1543" max="1543" width="9.7109375" style="11" customWidth="1"/>
    <col min="1544" max="1544" width="9" style="11" customWidth="1"/>
    <col min="1545" max="1545" width="6.7109375" style="11" bestFit="1" customWidth="1"/>
    <col min="1546" max="1546" width="13.28515625" style="11" customWidth="1"/>
    <col min="1547" max="1547" width="13.42578125" style="11" bestFit="1" customWidth="1"/>
    <col min="1548" max="1548" width="2.5703125" style="11" customWidth="1"/>
    <col min="1549" max="1549" width="17" style="11" customWidth="1"/>
    <col min="1550" max="1550" width="12.42578125" style="11" bestFit="1" customWidth="1"/>
    <col min="1551" max="1792" width="11.5703125" style="11"/>
    <col min="1793" max="1793" width="7.7109375" style="11" customWidth="1"/>
    <col min="1794" max="1795" width="7.5703125" style="11" customWidth="1"/>
    <col min="1796" max="1796" width="29.42578125" style="11" customWidth="1"/>
    <col min="1797" max="1797" width="10.85546875" style="11" customWidth="1"/>
    <col min="1798" max="1798" width="11.42578125" style="11" customWidth="1"/>
    <col min="1799" max="1799" width="9.7109375" style="11" customWidth="1"/>
    <col min="1800" max="1800" width="9" style="11" customWidth="1"/>
    <col min="1801" max="1801" width="6.7109375" style="11" bestFit="1" customWidth="1"/>
    <col min="1802" max="1802" width="13.28515625" style="11" customWidth="1"/>
    <col min="1803" max="1803" width="13.42578125" style="11" bestFit="1" customWidth="1"/>
    <col min="1804" max="1804" width="2.5703125" style="11" customWidth="1"/>
    <col min="1805" max="1805" width="17" style="11" customWidth="1"/>
    <col min="1806" max="1806" width="12.42578125" style="11" bestFit="1" customWidth="1"/>
    <col min="1807" max="2048" width="11.5703125" style="11"/>
    <col min="2049" max="2049" width="7.7109375" style="11" customWidth="1"/>
    <col min="2050" max="2051" width="7.5703125" style="11" customWidth="1"/>
    <col min="2052" max="2052" width="29.42578125" style="11" customWidth="1"/>
    <col min="2053" max="2053" width="10.85546875" style="11" customWidth="1"/>
    <col min="2054" max="2054" width="11.42578125" style="11" customWidth="1"/>
    <col min="2055" max="2055" width="9.7109375" style="11" customWidth="1"/>
    <col min="2056" max="2056" width="9" style="11" customWidth="1"/>
    <col min="2057" max="2057" width="6.7109375" style="11" bestFit="1" customWidth="1"/>
    <col min="2058" max="2058" width="13.28515625" style="11" customWidth="1"/>
    <col min="2059" max="2059" width="13.42578125" style="11" bestFit="1" customWidth="1"/>
    <col min="2060" max="2060" width="2.5703125" style="11" customWidth="1"/>
    <col min="2061" max="2061" width="17" style="11" customWidth="1"/>
    <col min="2062" max="2062" width="12.42578125" style="11" bestFit="1" customWidth="1"/>
    <col min="2063" max="2304" width="11.5703125" style="11"/>
    <col min="2305" max="2305" width="7.7109375" style="11" customWidth="1"/>
    <col min="2306" max="2307" width="7.5703125" style="11" customWidth="1"/>
    <col min="2308" max="2308" width="29.42578125" style="11" customWidth="1"/>
    <col min="2309" max="2309" width="10.85546875" style="11" customWidth="1"/>
    <col min="2310" max="2310" width="11.42578125" style="11" customWidth="1"/>
    <col min="2311" max="2311" width="9.7109375" style="11" customWidth="1"/>
    <col min="2312" max="2312" width="9" style="11" customWidth="1"/>
    <col min="2313" max="2313" width="6.7109375" style="11" bestFit="1" customWidth="1"/>
    <col min="2314" max="2314" width="13.28515625" style="11" customWidth="1"/>
    <col min="2315" max="2315" width="13.42578125" style="11" bestFit="1" customWidth="1"/>
    <col min="2316" max="2316" width="2.5703125" style="11" customWidth="1"/>
    <col min="2317" max="2317" width="17" style="11" customWidth="1"/>
    <col min="2318" max="2318" width="12.42578125" style="11" bestFit="1" customWidth="1"/>
    <col min="2319" max="2560" width="11.5703125" style="11"/>
    <col min="2561" max="2561" width="7.7109375" style="11" customWidth="1"/>
    <col min="2562" max="2563" width="7.5703125" style="11" customWidth="1"/>
    <col min="2564" max="2564" width="29.42578125" style="11" customWidth="1"/>
    <col min="2565" max="2565" width="10.85546875" style="11" customWidth="1"/>
    <col min="2566" max="2566" width="11.42578125" style="11" customWidth="1"/>
    <col min="2567" max="2567" width="9.7109375" style="11" customWidth="1"/>
    <col min="2568" max="2568" width="9" style="11" customWidth="1"/>
    <col min="2569" max="2569" width="6.7109375" style="11" bestFit="1" customWidth="1"/>
    <col min="2570" max="2570" width="13.28515625" style="11" customWidth="1"/>
    <col min="2571" max="2571" width="13.42578125" style="11" bestFit="1" customWidth="1"/>
    <col min="2572" max="2572" width="2.5703125" style="11" customWidth="1"/>
    <col min="2573" max="2573" width="17" style="11" customWidth="1"/>
    <col min="2574" max="2574" width="12.42578125" style="11" bestFit="1" customWidth="1"/>
    <col min="2575" max="2816" width="11.5703125" style="11"/>
    <col min="2817" max="2817" width="7.7109375" style="11" customWidth="1"/>
    <col min="2818" max="2819" width="7.5703125" style="11" customWidth="1"/>
    <col min="2820" max="2820" width="29.42578125" style="11" customWidth="1"/>
    <col min="2821" max="2821" width="10.85546875" style="11" customWidth="1"/>
    <col min="2822" max="2822" width="11.42578125" style="11" customWidth="1"/>
    <col min="2823" max="2823" width="9.7109375" style="11" customWidth="1"/>
    <col min="2824" max="2824" width="9" style="11" customWidth="1"/>
    <col min="2825" max="2825" width="6.7109375" style="11" bestFit="1" customWidth="1"/>
    <col min="2826" max="2826" width="13.28515625" style="11" customWidth="1"/>
    <col min="2827" max="2827" width="13.42578125" style="11" bestFit="1" customWidth="1"/>
    <col min="2828" max="2828" width="2.5703125" style="11" customWidth="1"/>
    <col min="2829" max="2829" width="17" style="11" customWidth="1"/>
    <col min="2830" max="2830" width="12.42578125" style="11" bestFit="1" customWidth="1"/>
    <col min="2831" max="3072" width="11.5703125" style="11"/>
    <col min="3073" max="3073" width="7.7109375" style="11" customWidth="1"/>
    <col min="3074" max="3075" width="7.5703125" style="11" customWidth="1"/>
    <col min="3076" max="3076" width="29.42578125" style="11" customWidth="1"/>
    <col min="3077" max="3077" width="10.85546875" style="11" customWidth="1"/>
    <col min="3078" max="3078" width="11.42578125" style="11" customWidth="1"/>
    <col min="3079" max="3079" width="9.7109375" style="11" customWidth="1"/>
    <col min="3080" max="3080" width="9" style="11" customWidth="1"/>
    <col min="3081" max="3081" width="6.7109375" style="11" bestFit="1" customWidth="1"/>
    <col min="3082" max="3082" width="13.28515625" style="11" customWidth="1"/>
    <col min="3083" max="3083" width="13.42578125" style="11" bestFit="1" customWidth="1"/>
    <col min="3084" max="3084" width="2.5703125" style="11" customWidth="1"/>
    <col min="3085" max="3085" width="17" style="11" customWidth="1"/>
    <col min="3086" max="3086" width="12.42578125" style="11" bestFit="1" customWidth="1"/>
    <col min="3087" max="3328" width="11.5703125" style="11"/>
    <col min="3329" max="3329" width="7.7109375" style="11" customWidth="1"/>
    <col min="3330" max="3331" width="7.5703125" style="11" customWidth="1"/>
    <col min="3332" max="3332" width="29.42578125" style="11" customWidth="1"/>
    <col min="3333" max="3333" width="10.85546875" style="11" customWidth="1"/>
    <col min="3334" max="3334" width="11.42578125" style="11" customWidth="1"/>
    <col min="3335" max="3335" width="9.7109375" style="11" customWidth="1"/>
    <col min="3336" max="3336" width="9" style="11" customWidth="1"/>
    <col min="3337" max="3337" width="6.7109375" style="11" bestFit="1" customWidth="1"/>
    <col min="3338" max="3338" width="13.28515625" style="11" customWidth="1"/>
    <col min="3339" max="3339" width="13.42578125" style="11" bestFit="1" customWidth="1"/>
    <col min="3340" max="3340" width="2.5703125" style="11" customWidth="1"/>
    <col min="3341" max="3341" width="17" style="11" customWidth="1"/>
    <col min="3342" max="3342" width="12.42578125" style="11" bestFit="1" customWidth="1"/>
    <col min="3343" max="3584" width="11.5703125" style="11"/>
    <col min="3585" max="3585" width="7.7109375" style="11" customWidth="1"/>
    <col min="3586" max="3587" width="7.5703125" style="11" customWidth="1"/>
    <col min="3588" max="3588" width="29.42578125" style="11" customWidth="1"/>
    <col min="3589" max="3589" width="10.85546875" style="11" customWidth="1"/>
    <col min="3590" max="3590" width="11.42578125" style="11" customWidth="1"/>
    <col min="3591" max="3591" width="9.7109375" style="11" customWidth="1"/>
    <col min="3592" max="3592" width="9" style="11" customWidth="1"/>
    <col min="3593" max="3593" width="6.7109375" style="11" bestFit="1" customWidth="1"/>
    <col min="3594" max="3594" width="13.28515625" style="11" customWidth="1"/>
    <col min="3595" max="3595" width="13.42578125" style="11" bestFit="1" customWidth="1"/>
    <col min="3596" max="3596" width="2.5703125" style="11" customWidth="1"/>
    <col min="3597" max="3597" width="17" style="11" customWidth="1"/>
    <col min="3598" max="3598" width="12.42578125" style="11" bestFit="1" customWidth="1"/>
    <col min="3599" max="3840" width="11.5703125" style="11"/>
    <col min="3841" max="3841" width="7.7109375" style="11" customWidth="1"/>
    <col min="3842" max="3843" width="7.5703125" style="11" customWidth="1"/>
    <col min="3844" max="3844" width="29.42578125" style="11" customWidth="1"/>
    <col min="3845" max="3845" width="10.85546875" style="11" customWidth="1"/>
    <col min="3846" max="3846" width="11.42578125" style="11" customWidth="1"/>
    <col min="3847" max="3847" width="9.7109375" style="11" customWidth="1"/>
    <col min="3848" max="3848" width="9" style="11" customWidth="1"/>
    <col min="3849" max="3849" width="6.7109375" style="11" bestFit="1" customWidth="1"/>
    <col min="3850" max="3850" width="13.28515625" style="11" customWidth="1"/>
    <col min="3851" max="3851" width="13.42578125" style="11" bestFit="1" customWidth="1"/>
    <col min="3852" max="3852" width="2.5703125" style="11" customWidth="1"/>
    <col min="3853" max="3853" width="17" style="11" customWidth="1"/>
    <col min="3854" max="3854" width="12.42578125" style="11" bestFit="1" customWidth="1"/>
    <col min="3855" max="4096" width="11.5703125" style="11"/>
    <col min="4097" max="4097" width="7.7109375" style="11" customWidth="1"/>
    <col min="4098" max="4099" width="7.5703125" style="11" customWidth="1"/>
    <col min="4100" max="4100" width="29.42578125" style="11" customWidth="1"/>
    <col min="4101" max="4101" width="10.85546875" style="11" customWidth="1"/>
    <col min="4102" max="4102" width="11.42578125" style="11" customWidth="1"/>
    <col min="4103" max="4103" width="9.7109375" style="11" customWidth="1"/>
    <col min="4104" max="4104" width="9" style="11" customWidth="1"/>
    <col min="4105" max="4105" width="6.7109375" style="11" bestFit="1" customWidth="1"/>
    <col min="4106" max="4106" width="13.28515625" style="11" customWidth="1"/>
    <col min="4107" max="4107" width="13.42578125" style="11" bestFit="1" customWidth="1"/>
    <col min="4108" max="4108" width="2.5703125" style="11" customWidth="1"/>
    <col min="4109" max="4109" width="17" style="11" customWidth="1"/>
    <col min="4110" max="4110" width="12.42578125" style="11" bestFit="1" customWidth="1"/>
    <col min="4111" max="4352" width="11.5703125" style="11"/>
    <col min="4353" max="4353" width="7.7109375" style="11" customWidth="1"/>
    <col min="4354" max="4355" width="7.5703125" style="11" customWidth="1"/>
    <col min="4356" max="4356" width="29.42578125" style="11" customWidth="1"/>
    <col min="4357" max="4357" width="10.85546875" style="11" customWidth="1"/>
    <col min="4358" max="4358" width="11.42578125" style="11" customWidth="1"/>
    <col min="4359" max="4359" width="9.7109375" style="11" customWidth="1"/>
    <col min="4360" max="4360" width="9" style="11" customWidth="1"/>
    <col min="4361" max="4361" width="6.7109375" style="11" bestFit="1" customWidth="1"/>
    <col min="4362" max="4362" width="13.28515625" style="11" customWidth="1"/>
    <col min="4363" max="4363" width="13.42578125" style="11" bestFit="1" customWidth="1"/>
    <col min="4364" max="4364" width="2.5703125" style="11" customWidth="1"/>
    <col min="4365" max="4365" width="17" style="11" customWidth="1"/>
    <col min="4366" max="4366" width="12.42578125" style="11" bestFit="1" customWidth="1"/>
    <col min="4367" max="4608" width="11.5703125" style="11"/>
    <col min="4609" max="4609" width="7.7109375" style="11" customWidth="1"/>
    <col min="4610" max="4611" width="7.5703125" style="11" customWidth="1"/>
    <col min="4612" max="4612" width="29.42578125" style="11" customWidth="1"/>
    <col min="4613" max="4613" width="10.85546875" style="11" customWidth="1"/>
    <col min="4614" max="4614" width="11.42578125" style="11" customWidth="1"/>
    <col min="4615" max="4615" width="9.7109375" style="11" customWidth="1"/>
    <col min="4616" max="4616" width="9" style="11" customWidth="1"/>
    <col min="4617" max="4617" width="6.7109375" style="11" bestFit="1" customWidth="1"/>
    <col min="4618" max="4618" width="13.28515625" style="11" customWidth="1"/>
    <col min="4619" max="4619" width="13.42578125" style="11" bestFit="1" customWidth="1"/>
    <col min="4620" max="4620" width="2.5703125" style="11" customWidth="1"/>
    <col min="4621" max="4621" width="17" style="11" customWidth="1"/>
    <col min="4622" max="4622" width="12.42578125" style="11" bestFit="1" customWidth="1"/>
    <col min="4623" max="4864" width="11.5703125" style="11"/>
    <col min="4865" max="4865" width="7.7109375" style="11" customWidth="1"/>
    <col min="4866" max="4867" width="7.5703125" style="11" customWidth="1"/>
    <col min="4868" max="4868" width="29.42578125" style="11" customWidth="1"/>
    <col min="4869" max="4869" width="10.85546875" style="11" customWidth="1"/>
    <col min="4870" max="4870" width="11.42578125" style="11" customWidth="1"/>
    <col min="4871" max="4871" width="9.7109375" style="11" customWidth="1"/>
    <col min="4872" max="4872" width="9" style="11" customWidth="1"/>
    <col min="4873" max="4873" width="6.7109375" style="11" bestFit="1" customWidth="1"/>
    <col min="4874" max="4874" width="13.28515625" style="11" customWidth="1"/>
    <col min="4875" max="4875" width="13.42578125" style="11" bestFit="1" customWidth="1"/>
    <col min="4876" max="4876" width="2.5703125" style="11" customWidth="1"/>
    <col min="4877" max="4877" width="17" style="11" customWidth="1"/>
    <col min="4878" max="4878" width="12.42578125" style="11" bestFit="1" customWidth="1"/>
    <col min="4879" max="5120" width="11.5703125" style="11"/>
    <col min="5121" max="5121" width="7.7109375" style="11" customWidth="1"/>
    <col min="5122" max="5123" width="7.5703125" style="11" customWidth="1"/>
    <col min="5124" max="5124" width="29.42578125" style="11" customWidth="1"/>
    <col min="5125" max="5125" width="10.85546875" style="11" customWidth="1"/>
    <col min="5126" max="5126" width="11.42578125" style="11" customWidth="1"/>
    <col min="5127" max="5127" width="9.7109375" style="11" customWidth="1"/>
    <col min="5128" max="5128" width="9" style="11" customWidth="1"/>
    <col min="5129" max="5129" width="6.7109375" style="11" bestFit="1" customWidth="1"/>
    <col min="5130" max="5130" width="13.28515625" style="11" customWidth="1"/>
    <col min="5131" max="5131" width="13.42578125" style="11" bestFit="1" customWidth="1"/>
    <col min="5132" max="5132" width="2.5703125" style="11" customWidth="1"/>
    <col min="5133" max="5133" width="17" style="11" customWidth="1"/>
    <col min="5134" max="5134" width="12.42578125" style="11" bestFit="1" customWidth="1"/>
    <col min="5135" max="5376" width="11.5703125" style="11"/>
    <col min="5377" max="5377" width="7.7109375" style="11" customWidth="1"/>
    <col min="5378" max="5379" width="7.5703125" style="11" customWidth="1"/>
    <col min="5380" max="5380" width="29.42578125" style="11" customWidth="1"/>
    <col min="5381" max="5381" width="10.85546875" style="11" customWidth="1"/>
    <col min="5382" max="5382" width="11.42578125" style="11" customWidth="1"/>
    <col min="5383" max="5383" width="9.7109375" style="11" customWidth="1"/>
    <col min="5384" max="5384" width="9" style="11" customWidth="1"/>
    <col min="5385" max="5385" width="6.7109375" style="11" bestFit="1" customWidth="1"/>
    <col min="5386" max="5386" width="13.28515625" style="11" customWidth="1"/>
    <col min="5387" max="5387" width="13.42578125" style="11" bestFit="1" customWidth="1"/>
    <col min="5388" max="5388" width="2.5703125" style="11" customWidth="1"/>
    <col min="5389" max="5389" width="17" style="11" customWidth="1"/>
    <col min="5390" max="5390" width="12.42578125" style="11" bestFit="1" customWidth="1"/>
    <col min="5391" max="5632" width="11.5703125" style="11"/>
    <col min="5633" max="5633" width="7.7109375" style="11" customWidth="1"/>
    <col min="5634" max="5635" width="7.5703125" style="11" customWidth="1"/>
    <col min="5636" max="5636" width="29.42578125" style="11" customWidth="1"/>
    <col min="5637" max="5637" width="10.85546875" style="11" customWidth="1"/>
    <col min="5638" max="5638" width="11.42578125" style="11" customWidth="1"/>
    <col min="5639" max="5639" width="9.7109375" style="11" customWidth="1"/>
    <col min="5640" max="5640" width="9" style="11" customWidth="1"/>
    <col min="5641" max="5641" width="6.7109375" style="11" bestFit="1" customWidth="1"/>
    <col min="5642" max="5642" width="13.28515625" style="11" customWidth="1"/>
    <col min="5643" max="5643" width="13.42578125" style="11" bestFit="1" customWidth="1"/>
    <col min="5644" max="5644" width="2.5703125" style="11" customWidth="1"/>
    <col min="5645" max="5645" width="17" style="11" customWidth="1"/>
    <col min="5646" max="5646" width="12.42578125" style="11" bestFit="1" customWidth="1"/>
    <col min="5647" max="5888" width="11.5703125" style="11"/>
    <col min="5889" max="5889" width="7.7109375" style="11" customWidth="1"/>
    <col min="5890" max="5891" width="7.5703125" style="11" customWidth="1"/>
    <col min="5892" max="5892" width="29.42578125" style="11" customWidth="1"/>
    <col min="5893" max="5893" width="10.85546875" style="11" customWidth="1"/>
    <col min="5894" max="5894" width="11.42578125" style="11" customWidth="1"/>
    <col min="5895" max="5895" width="9.7109375" style="11" customWidth="1"/>
    <col min="5896" max="5896" width="9" style="11" customWidth="1"/>
    <col min="5897" max="5897" width="6.7109375" style="11" bestFit="1" customWidth="1"/>
    <col min="5898" max="5898" width="13.28515625" style="11" customWidth="1"/>
    <col min="5899" max="5899" width="13.42578125" style="11" bestFit="1" customWidth="1"/>
    <col min="5900" max="5900" width="2.5703125" style="11" customWidth="1"/>
    <col min="5901" max="5901" width="17" style="11" customWidth="1"/>
    <col min="5902" max="5902" width="12.42578125" style="11" bestFit="1" customWidth="1"/>
    <col min="5903" max="6144" width="11.5703125" style="11"/>
    <col min="6145" max="6145" width="7.7109375" style="11" customWidth="1"/>
    <col min="6146" max="6147" width="7.5703125" style="11" customWidth="1"/>
    <col min="6148" max="6148" width="29.42578125" style="11" customWidth="1"/>
    <col min="6149" max="6149" width="10.85546875" style="11" customWidth="1"/>
    <col min="6150" max="6150" width="11.42578125" style="11" customWidth="1"/>
    <col min="6151" max="6151" width="9.7109375" style="11" customWidth="1"/>
    <col min="6152" max="6152" width="9" style="11" customWidth="1"/>
    <col min="6153" max="6153" width="6.7109375" style="11" bestFit="1" customWidth="1"/>
    <col min="6154" max="6154" width="13.28515625" style="11" customWidth="1"/>
    <col min="6155" max="6155" width="13.42578125" style="11" bestFit="1" customWidth="1"/>
    <col min="6156" max="6156" width="2.5703125" style="11" customWidth="1"/>
    <col min="6157" max="6157" width="17" style="11" customWidth="1"/>
    <col min="6158" max="6158" width="12.42578125" style="11" bestFit="1" customWidth="1"/>
    <col min="6159" max="6400" width="11.5703125" style="11"/>
    <col min="6401" max="6401" width="7.7109375" style="11" customWidth="1"/>
    <col min="6402" max="6403" width="7.5703125" style="11" customWidth="1"/>
    <col min="6404" max="6404" width="29.42578125" style="11" customWidth="1"/>
    <col min="6405" max="6405" width="10.85546875" style="11" customWidth="1"/>
    <col min="6406" max="6406" width="11.42578125" style="11" customWidth="1"/>
    <col min="6407" max="6407" width="9.7109375" style="11" customWidth="1"/>
    <col min="6408" max="6408" width="9" style="11" customWidth="1"/>
    <col min="6409" max="6409" width="6.7109375" style="11" bestFit="1" customWidth="1"/>
    <col min="6410" max="6410" width="13.28515625" style="11" customWidth="1"/>
    <col min="6411" max="6411" width="13.42578125" style="11" bestFit="1" customWidth="1"/>
    <col min="6412" max="6412" width="2.5703125" style="11" customWidth="1"/>
    <col min="6413" max="6413" width="17" style="11" customWidth="1"/>
    <col min="6414" max="6414" width="12.42578125" style="11" bestFit="1" customWidth="1"/>
    <col min="6415" max="6656" width="11.5703125" style="11"/>
    <col min="6657" max="6657" width="7.7109375" style="11" customWidth="1"/>
    <col min="6658" max="6659" width="7.5703125" style="11" customWidth="1"/>
    <col min="6660" max="6660" width="29.42578125" style="11" customWidth="1"/>
    <col min="6661" max="6661" width="10.85546875" style="11" customWidth="1"/>
    <col min="6662" max="6662" width="11.42578125" style="11" customWidth="1"/>
    <col min="6663" max="6663" width="9.7109375" style="11" customWidth="1"/>
    <col min="6664" max="6664" width="9" style="11" customWidth="1"/>
    <col min="6665" max="6665" width="6.7109375" style="11" bestFit="1" customWidth="1"/>
    <col min="6666" max="6666" width="13.28515625" style="11" customWidth="1"/>
    <col min="6667" max="6667" width="13.42578125" style="11" bestFit="1" customWidth="1"/>
    <col min="6668" max="6668" width="2.5703125" style="11" customWidth="1"/>
    <col min="6669" max="6669" width="17" style="11" customWidth="1"/>
    <col min="6670" max="6670" width="12.42578125" style="11" bestFit="1" customWidth="1"/>
    <col min="6671" max="6912" width="11.5703125" style="11"/>
    <col min="6913" max="6913" width="7.7109375" style="11" customWidth="1"/>
    <col min="6914" max="6915" width="7.5703125" style="11" customWidth="1"/>
    <col min="6916" max="6916" width="29.42578125" style="11" customWidth="1"/>
    <col min="6917" max="6917" width="10.85546875" style="11" customWidth="1"/>
    <col min="6918" max="6918" width="11.42578125" style="11" customWidth="1"/>
    <col min="6919" max="6919" width="9.7109375" style="11" customWidth="1"/>
    <col min="6920" max="6920" width="9" style="11" customWidth="1"/>
    <col min="6921" max="6921" width="6.7109375" style="11" bestFit="1" customWidth="1"/>
    <col min="6922" max="6922" width="13.28515625" style="11" customWidth="1"/>
    <col min="6923" max="6923" width="13.42578125" style="11" bestFit="1" customWidth="1"/>
    <col min="6924" max="6924" width="2.5703125" style="11" customWidth="1"/>
    <col min="6925" max="6925" width="17" style="11" customWidth="1"/>
    <col min="6926" max="6926" width="12.42578125" style="11" bestFit="1" customWidth="1"/>
    <col min="6927" max="7168" width="11.5703125" style="11"/>
    <col min="7169" max="7169" width="7.7109375" style="11" customWidth="1"/>
    <col min="7170" max="7171" width="7.5703125" style="11" customWidth="1"/>
    <col min="7172" max="7172" width="29.42578125" style="11" customWidth="1"/>
    <col min="7173" max="7173" width="10.85546875" style="11" customWidth="1"/>
    <col min="7174" max="7174" width="11.42578125" style="11" customWidth="1"/>
    <col min="7175" max="7175" width="9.7109375" style="11" customWidth="1"/>
    <col min="7176" max="7176" width="9" style="11" customWidth="1"/>
    <col min="7177" max="7177" width="6.7109375" style="11" bestFit="1" customWidth="1"/>
    <col min="7178" max="7178" width="13.28515625" style="11" customWidth="1"/>
    <col min="7179" max="7179" width="13.42578125" style="11" bestFit="1" customWidth="1"/>
    <col min="7180" max="7180" width="2.5703125" style="11" customWidth="1"/>
    <col min="7181" max="7181" width="17" style="11" customWidth="1"/>
    <col min="7182" max="7182" width="12.42578125" style="11" bestFit="1" customWidth="1"/>
    <col min="7183" max="7424" width="11.5703125" style="11"/>
    <col min="7425" max="7425" width="7.7109375" style="11" customWidth="1"/>
    <col min="7426" max="7427" width="7.5703125" style="11" customWidth="1"/>
    <col min="7428" max="7428" width="29.42578125" style="11" customWidth="1"/>
    <col min="7429" max="7429" width="10.85546875" style="11" customWidth="1"/>
    <col min="7430" max="7430" width="11.42578125" style="11" customWidth="1"/>
    <col min="7431" max="7431" width="9.7109375" style="11" customWidth="1"/>
    <col min="7432" max="7432" width="9" style="11" customWidth="1"/>
    <col min="7433" max="7433" width="6.7109375" style="11" bestFit="1" customWidth="1"/>
    <col min="7434" max="7434" width="13.28515625" style="11" customWidth="1"/>
    <col min="7435" max="7435" width="13.42578125" style="11" bestFit="1" customWidth="1"/>
    <col min="7436" max="7436" width="2.5703125" style="11" customWidth="1"/>
    <col min="7437" max="7437" width="17" style="11" customWidth="1"/>
    <col min="7438" max="7438" width="12.42578125" style="11" bestFit="1" customWidth="1"/>
    <col min="7439" max="7680" width="11.5703125" style="11"/>
    <col min="7681" max="7681" width="7.7109375" style="11" customWidth="1"/>
    <col min="7682" max="7683" width="7.5703125" style="11" customWidth="1"/>
    <col min="7684" max="7684" width="29.42578125" style="11" customWidth="1"/>
    <col min="7685" max="7685" width="10.85546875" style="11" customWidth="1"/>
    <col min="7686" max="7686" width="11.42578125" style="11" customWidth="1"/>
    <col min="7687" max="7687" width="9.7109375" style="11" customWidth="1"/>
    <col min="7688" max="7688" width="9" style="11" customWidth="1"/>
    <col min="7689" max="7689" width="6.7109375" style="11" bestFit="1" customWidth="1"/>
    <col min="7690" max="7690" width="13.28515625" style="11" customWidth="1"/>
    <col min="7691" max="7691" width="13.42578125" style="11" bestFit="1" customWidth="1"/>
    <col min="7692" max="7692" width="2.5703125" style="11" customWidth="1"/>
    <col min="7693" max="7693" width="17" style="11" customWidth="1"/>
    <col min="7694" max="7694" width="12.42578125" style="11" bestFit="1" customWidth="1"/>
    <col min="7695" max="7936" width="11.5703125" style="11"/>
    <col min="7937" max="7937" width="7.7109375" style="11" customWidth="1"/>
    <col min="7938" max="7939" width="7.5703125" style="11" customWidth="1"/>
    <col min="7940" max="7940" width="29.42578125" style="11" customWidth="1"/>
    <col min="7941" max="7941" width="10.85546875" style="11" customWidth="1"/>
    <col min="7942" max="7942" width="11.42578125" style="11" customWidth="1"/>
    <col min="7943" max="7943" width="9.7109375" style="11" customWidth="1"/>
    <col min="7944" max="7944" width="9" style="11" customWidth="1"/>
    <col min="7945" max="7945" width="6.7109375" style="11" bestFit="1" customWidth="1"/>
    <col min="7946" max="7946" width="13.28515625" style="11" customWidth="1"/>
    <col min="7947" max="7947" width="13.42578125" style="11" bestFit="1" customWidth="1"/>
    <col min="7948" max="7948" width="2.5703125" style="11" customWidth="1"/>
    <col min="7949" max="7949" width="17" style="11" customWidth="1"/>
    <col min="7950" max="7950" width="12.42578125" style="11" bestFit="1" customWidth="1"/>
    <col min="7951" max="8192" width="11.5703125" style="11"/>
    <col min="8193" max="8193" width="7.7109375" style="11" customWidth="1"/>
    <col min="8194" max="8195" width="7.5703125" style="11" customWidth="1"/>
    <col min="8196" max="8196" width="29.42578125" style="11" customWidth="1"/>
    <col min="8197" max="8197" width="10.85546875" style="11" customWidth="1"/>
    <col min="8198" max="8198" width="11.42578125" style="11" customWidth="1"/>
    <col min="8199" max="8199" width="9.7109375" style="11" customWidth="1"/>
    <col min="8200" max="8200" width="9" style="11" customWidth="1"/>
    <col min="8201" max="8201" width="6.7109375" style="11" bestFit="1" customWidth="1"/>
    <col min="8202" max="8202" width="13.28515625" style="11" customWidth="1"/>
    <col min="8203" max="8203" width="13.42578125" style="11" bestFit="1" customWidth="1"/>
    <col min="8204" max="8204" width="2.5703125" style="11" customWidth="1"/>
    <col min="8205" max="8205" width="17" style="11" customWidth="1"/>
    <col min="8206" max="8206" width="12.42578125" style="11" bestFit="1" customWidth="1"/>
    <col min="8207" max="8448" width="11.5703125" style="11"/>
    <col min="8449" max="8449" width="7.7109375" style="11" customWidth="1"/>
    <col min="8450" max="8451" width="7.5703125" style="11" customWidth="1"/>
    <col min="8452" max="8452" width="29.42578125" style="11" customWidth="1"/>
    <col min="8453" max="8453" width="10.85546875" style="11" customWidth="1"/>
    <col min="8454" max="8454" width="11.42578125" style="11" customWidth="1"/>
    <col min="8455" max="8455" width="9.7109375" style="11" customWidth="1"/>
    <col min="8456" max="8456" width="9" style="11" customWidth="1"/>
    <col min="8457" max="8457" width="6.7109375" style="11" bestFit="1" customWidth="1"/>
    <col min="8458" max="8458" width="13.28515625" style="11" customWidth="1"/>
    <col min="8459" max="8459" width="13.42578125" style="11" bestFit="1" customWidth="1"/>
    <col min="8460" max="8460" width="2.5703125" style="11" customWidth="1"/>
    <col min="8461" max="8461" width="17" style="11" customWidth="1"/>
    <col min="8462" max="8462" width="12.42578125" style="11" bestFit="1" customWidth="1"/>
    <col min="8463" max="8704" width="11.5703125" style="11"/>
    <col min="8705" max="8705" width="7.7109375" style="11" customWidth="1"/>
    <col min="8706" max="8707" width="7.5703125" style="11" customWidth="1"/>
    <col min="8708" max="8708" width="29.42578125" style="11" customWidth="1"/>
    <col min="8709" max="8709" width="10.85546875" style="11" customWidth="1"/>
    <col min="8710" max="8710" width="11.42578125" style="11" customWidth="1"/>
    <col min="8711" max="8711" width="9.7109375" style="11" customWidth="1"/>
    <col min="8712" max="8712" width="9" style="11" customWidth="1"/>
    <col min="8713" max="8713" width="6.7109375" style="11" bestFit="1" customWidth="1"/>
    <col min="8714" max="8714" width="13.28515625" style="11" customWidth="1"/>
    <col min="8715" max="8715" width="13.42578125" style="11" bestFit="1" customWidth="1"/>
    <col min="8716" max="8716" width="2.5703125" style="11" customWidth="1"/>
    <col min="8717" max="8717" width="17" style="11" customWidth="1"/>
    <col min="8718" max="8718" width="12.42578125" style="11" bestFit="1" customWidth="1"/>
    <col min="8719" max="8960" width="11.5703125" style="11"/>
    <col min="8961" max="8961" width="7.7109375" style="11" customWidth="1"/>
    <col min="8962" max="8963" width="7.5703125" style="11" customWidth="1"/>
    <col min="8964" max="8964" width="29.42578125" style="11" customWidth="1"/>
    <col min="8965" max="8965" width="10.85546875" style="11" customWidth="1"/>
    <col min="8966" max="8966" width="11.42578125" style="11" customWidth="1"/>
    <col min="8967" max="8967" width="9.7109375" style="11" customWidth="1"/>
    <col min="8968" max="8968" width="9" style="11" customWidth="1"/>
    <col min="8969" max="8969" width="6.7109375" style="11" bestFit="1" customWidth="1"/>
    <col min="8970" max="8970" width="13.28515625" style="11" customWidth="1"/>
    <col min="8971" max="8971" width="13.42578125" style="11" bestFit="1" customWidth="1"/>
    <col min="8972" max="8972" width="2.5703125" style="11" customWidth="1"/>
    <col min="8973" max="8973" width="17" style="11" customWidth="1"/>
    <col min="8974" max="8974" width="12.42578125" style="11" bestFit="1" customWidth="1"/>
    <col min="8975" max="9216" width="11.5703125" style="11"/>
    <col min="9217" max="9217" width="7.7109375" style="11" customWidth="1"/>
    <col min="9218" max="9219" width="7.5703125" style="11" customWidth="1"/>
    <col min="9220" max="9220" width="29.42578125" style="11" customWidth="1"/>
    <col min="9221" max="9221" width="10.85546875" style="11" customWidth="1"/>
    <col min="9222" max="9222" width="11.42578125" style="11" customWidth="1"/>
    <col min="9223" max="9223" width="9.7109375" style="11" customWidth="1"/>
    <col min="9224" max="9224" width="9" style="11" customWidth="1"/>
    <col min="9225" max="9225" width="6.7109375" style="11" bestFit="1" customWidth="1"/>
    <col min="9226" max="9226" width="13.28515625" style="11" customWidth="1"/>
    <col min="9227" max="9227" width="13.42578125" style="11" bestFit="1" customWidth="1"/>
    <col min="9228" max="9228" width="2.5703125" style="11" customWidth="1"/>
    <col min="9229" max="9229" width="17" style="11" customWidth="1"/>
    <col min="9230" max="9230" width="12.42578125" style="11" bestFit="1" customWidth="1"/>
    <col min="9231" max="9472" width="11.5703125" style="11"/>
    <col min="9473" max="9473" width="7.7109375" style="11" customWidth="1"/>
    <col min="9474" max="9475" width="7.5703125" style="11" customWidth="1"/>
    <col min="9476" max="9476" width="29.42578125" style="11" customWidth="1"/>
    <col min="9477" max="9477" width="10.85546875" style="11" customWidth="1"/>
    <col min="9478" max="9478" width="11.42578125" style="11" customWidth="1"/>
    <col min="9479" max="9479" width="9.7109375" style="11" customWidth="1"/>
    <col min="9480" max="9480" width="9" style="11" customWidth="1"/>
    <col min="9481" max="9481" width="6.7109375" style="11" bestFit="1" customWidth="1"/>
    <col min="9482" max="9482" width="13.28515625" style="11" customWidth="1"/>
    <col min="9483" max="9483" width="13.42578125" style="11" bestFit="1" customWidth="1"/>
    <col min="9484" max="9484" width="2.5703125" style="11" customWidth="1"/>
    <col min="9485" max="9485" width="17" style="11" customWidth="1"/>
    <col min="9486" max="9486" width="12.42578125" style="11" bestFit="1" customWidth="1"/>
    <col min="9487" max="9728" width="11.5703125" style="11"/>
    <col min="9729" max="9729" width="7.7109375" style="11" customWidth="1"/>
    <col min="9730" max="9731" width="7.5703125" style="11" customWidth="1"/>
    <col min="9732" max="9732" width="29.42578125" style="11" customWidth="1"/>
    <col min="9733" max="9733" width="10.85546875" style="11" customWidth="1"/>
    <col min="9734" max="9734" width="11.42578125" style="11" customWidth="1"/>
    <col min="9735" max="9735" width="9.7109375" style="11" customWidth="1"/>
    <col min="9736" max="9736" width="9" style="11" customWidth="1"/>
    <col min="9737" max="9737" width="6.7109375" style="11" bestFit="1" customWidth="1"/>
    <col min="9738" max="9738" width="13.28515625" style="11" customWidth="1"/>
    <col min="9739" max="9739" width="13.42578125" style="11" bestFit="1" customWidth="1"/>
    <col min="9740" max="9740" width="2.5703125" style="11" customWidth="1"/>
    <col min="9741" max="9741" width="17" style="11" customWidth="1"/>
    <col min="9742" max="9742" width="12.42578125" style="11" bestFit="1" customWidth="1"/>
    <col min="9743" max="9984" width="11.5703125" style="11"/>
    <col min="9985" max="9985" width="7.7109375" style="11" customWidth="1"/>
    <col min="9986" max="9987" width="7.5703125" style="11" customWidth="1"/>
    <col min="9988" max="9988" width="29.42578125" style="11" customWidth="1"/>
    <col min="9989" max="9989" width="10.85546875" style="11" customWidth="1"/>
    <col min="9990" max="9990" width="11.42578125" style="11" customWidth="1"/>
    <col min="9991" max="9991" width="9.7109375" style="11" customWidth="1"/>
    <col min="9992" max="9992" width="9" style="11" customWidth="1"/>
    <col min="9993" max="9993" width="6.7109375" style="11" bestFit="1" customWidth="1"/>
    <col min="9994" max="9994" width="13.28515625" style="11" customWidth="1"/>
    <col min="9995" max="9995" width="13.42578125" style="11" bestFit="1" customWidth="1"/>
    <col min="9996" max="9996" width="2.5703125" style="11" customWidth="1"/>
    <col min="9997" max="9997" width="17" style="11" customWidth="1"/>
    <col min="9998" max="9998" width="12.42578125" style="11" bestFit="1" customWidth="1"/>
    <col min="9999" max="10240" width="11.5703125" style="11"/>
    <col min="10241" max="10241" width="7.7109375" style="11" customWidth="1"/>
    <col min="10242" max="10243" width="7.5703125" style="11" customWidth="1"/>
    <col min="10244" max="10244" width="29.42578125" style="11" customWidth="1"/>
    <col min="10245" max="10245" width="10.85546875" style="11" customWidth="1"/>
    <col min="10246" max="10246" width="11.42578125" style="11" customWidth="1"/>
    <col min="10247" max="10247" width="9.7109375" style="11" customWidth="1"/>
    <col min="10248" max="10248" width="9" style="11" customWidth="1"/>
    <col min="10249" max="10249" width="6.7109375" style="11" bestFit="1" customWidth="1"/>
    <col min="10250" max="10250" width="13.28515625" style="11" customWidth="1"/>
    <col min="10251" max="10251" width="13.42578125" style="11" bestFit="1" customWidth="1"/>
    <col min="10252" max="10252" width="2.5703125" style="11" customWidth="1"/>
    <col min="10253" max="10253" width="17" style="11" customWidth="1"/>
    <col min="10254" max="10254" width="12.42578125" style="11" bestFit="1" customWidth="1"/>
    <col min="10255" max="10496" width="11.5703125" style="11"/>
    <col min="10497" max="10497" width="7.7109375" style="11" customWidth="1"/>
    <col min="10498" max="10499" width="7.5703125" style="11" customWidth="1"/>
    <col min="10500" max="10500" width="29.42578125" style="11" customWidth="1"/>
    <col min="10501" max="10501" width="10.85546875" style="11" customWidth="1"/>
    <col min="10502" max="10502" width="11.42578125" style="11" customWidth="1"/>
    <col min="10503" max="10503" width="9.7109375" style="11" customWidth="1"/>
    <col min="10504" max="10504" width="9" style="11" customWidth="1"/>
    <col min="10505" max="10505" width="6.7109375" style="11" bestFit="1" customWidth="1"/>
    <col min="10506" max="10506" width="13.28515625" style="11" customWidth="1"/>
    <col min="10507" max="10507" width="13.42578125" style="11" bestFit="1" customWidth="1"/>
    <col min="10508" max="10508" width="2.5703125" style="11" customWidth="1"/>
    <col min="10509" max="10509" width="17" style="11" customWidth="1"/>
    <col min="10510" max="10510" width="12.42578125" style="11" bestFit="1" customWidth="1"/>
    <col min="10511" max="10752" width="11.5703125" style="11"/>
    <col min="10753" max="10753" width="7.7109375" style="11" customWidth="1"/>
    <col min="10754" max="10755" width="7.5703125" style="11" customWidth="1"/>
    <col min="10756" max="10756" width="29.42578125" style="11" customWidth="1"/>
    <col min="10757" max="10757" width="10.85546875" style="11" customWidth="1"/>
    <col min="10758" max="10758" width="11.42578125" style="11" customWidth="1"/>
    <col min="10759" max="10759" width="9.7109375" style="11" customWidth="1"/>
    <col min="10760" max="10760" width="9" style="11" customWidth="1"/>
    <col min="10761" max="10761" width="6.7109375" style="11" bestFit="1" customWidth="1"/>
    <col min="10762" max="10762" width="13.28515625" style="11" customWidth="1"/>
    <col min="10763" max="10763" width="13.42578125" style="11" bestFit="1" customWidth="1"/>
    <col min="10764" max="10764" width="2.5703125" style="11" customWidth="1"/>
    <col min="10765" max="10765" width="17" style="11" customWidth="1"/>
    <col min="10766" max="10766" width="12.42578125" style="11" bestFit="1" customWidth="1"/>
    <col min="10767" max="11008" width="11.5703125" style="11"/>
    <col min="11009" max="11009" width="7.7109375" style="11" customWidth="1"/>
    <col min="11010" max="11011" width="7.5703125" style="11" customWidth="1"/>
    <col min="11012" max="11012" width="29.42578125" style="11" customWidth="1"/>
    <col min="11013" max="11013" width="10.85546875" style="11" customWidth="1"/>
    <col min="11014" max="11014" width="11.42578125" style="11" customWidth="1"/>
    <col min="11015" max="11015" width="9.7109375" style="11" customWidth="1"/>
    <col min="11016" max="11016" width="9" style="11" customWidth="1"/>
    <col min="11017" max="11017" width="6.7109375" style="11" bestFit="1" customWidth="1"/>
    <col min="11018" max="11018" width="13.28515625" style="11" customWidth="1"/>
    <col min="11019" max="11019" width="13.42578125" style="11" bestFit="1" customWidth="1"/>
    <col min="11020" max="11020" width="2.5703125" style="11" customWidth="1"/>
    <col min="11021" max="11021" width="17" style="11" customWidth="1"/>
    <col min="11022" max="11022" width="12.42578125" style="11" bestFit="1" customWidth="1"/>
    <col min="11023" max="11264" width="11.5703125" style="11"/>
    <col min="11265" max="11265" width="7.7109375" style="11" customWidth="1"/>
    <col min="11266" max="11267" width="7.5703125" style="11" customWidth="1"/>
    <col min="11268" max="11268" width="29.42578125" style="11" customWidth="1"/>
    <col min="11269" max="11269" width="10.85546875" style="11" customWidth="1"/>
    <col min="11270" max="11270" width="11.42578125" style="11" customWidth="1"/>
    <col min="11271" max="11271" width="9.7109375" style="11" customWidth="1"/>
    <col min="11272" max="11272" width="9" style="11" customWidth="1"/>
    <col min="11273" max="11273" width="6.7109375" style="11" bestFit="1" customWidth="1"/>
    <col min="11274" max="11274" width="13.28515625" style="11" customWidth="1"/>
    <col min="11275" max="11275" width="13.42578125" style="11" bestFit="1" customWidth="1"/>
    <col min="11276" max="11276" width="2.5703125" style="11" customWidth="1"/>
    <col min="11277" max="11277" width="17" style="11" customWidth="1"/>
    <col min="11278" max="11278" width="12.42578125" style="11" bestFit="1" customWidth="1"/>
    <col min="11279" max="11520" width="11.5703125" style="11"/>
    <col min="11521" max="11521" width="7.7109375" style="11" customWidth="1"/>
    <col min="11522" max="11523" width="7.5703125" style="11" customWidth="1"/>
    <col min="11524" max="11524" width="29.42578125" style="11" customWidth="1"/>
    <col min="11525" max="11525" width="10.85546875" style="11" customWidth="1"/>
    <col min="11526" max="11526" width="11.42578125" style="11" customWidth="1"/>
    <col min="11527" max="11527" width="9.7109375" style="11" customWidth="1"/>
    <col min="11528" max="11528" width="9" style="11" customWidth="1"/>
    <col min="11529" max="11529" width="6.7109375" style="11" bestFit="1" customWidth="1"/>
    <col min="11530" max="11530" width="13.28515625" style="11" customWidth="1"/>
    <col min="11531" max="11531" width="13.42578125" style="11" bestFit="1" customWidth="1"/>
    <col min="11532" max="11532" width="2.5703125" style="11" customWidth="1"/>
    <col min="11533" max="11533" width="17" style="11" customWidth="1"/>
    <col min="11534" max="11534" width="12.42578125" style="11" bestFit="1" customWidth="1"/>
    <col min="11535" max="11776" width="11.5703125" style="11"/>
    <col min="11777" max="11777" width="7.7109375" style="11" customWidth="1"/>
    <col min="11778" max="11779" width="7.5703125" style="11" customWidth="1"/>
    <col min="11780" max="11780" width="29.42578125" style="11" customWidth="1"/>
    <col min="11781" max="11781" width="10.85546875" style="11" customWidth="1"/>
    <col min="11782" max="11782" width="11.42578125" style="11" customWidth="1"/>
    <col min="11783" max="11783" width="9.7109375" style="11" customWidth="1"/>
    <col min="11784" max="11784" width="9" style="11" customWidth="1"/>
    <col min="11785" max="11785" width="6.7109375" style="11" bestFit="1" customWidth="1"/>
    <col min="11786" max="11786" width="13.28515625" style="11" customWidth="1"/>
    <col min="11787" max="11787" width="13.42578125" style="11" bestFit="1" customWidth="1"/>
    <col min="11788" max="11788" width="2.5703125" style="11" customWidth="1"/>
    <col min="11789" max="11789" width="17" style="11" customWidth="1"/>
    <col min="11790" max="11790" width="12.42578125" style="11" bestFit="1" customWidth="1"/>
    <col min="11791" max="12032" width="11.5703125" style="11"/>
    <col min="12033" max="12033" width="7.7109375" style="11" customWidth="1"/>
    <col min="12034" max="12035" width="7.5703125" style="11" customWidth="1"/>
    <col min="12036" max="12036" width="29.42578125" style="11" customWidth="1"/>
    <col min="12037" max="12037" width="10.85546875" style="11" customWidth="1"/>
    <col min="12038" max="12038" width="11.42578125" style="11" customWidth="1"/>
    <col min="12039" max="12039" width="9.7109375" style="11" customWidth="1"/>
    <col min="12040" max="12040" width="9" style="11" customWidth="1"/>
    <col min="12041" max="12041" width="6.7109375" style="11" bestFit="1" customWidth="1"/>
    <col min="12042" max="12042" width="13.28515625" style="11" customWidth="1"/>
    <col min="12043" max="12043" width="13.42578125" style="11" bestFit="1" customWidth="1"/>
    <col min="12044" max="12044" width="2.5703125" style="11" customWidth="1"/>
    <col min="12045" max="12045" width="17" style="11" customWidth="1"/>
    <col min="12046" max="12046" width="12.42578125" style="11" bestFit="1" customWidth="1"/>
    <col min="12047" max="12288" width="11.5703125" style="11"/>
    <col min="12289" max="12289" width="7.7109375" style="11" customWidth="1"/>
    <col min="12290" max="12291" width="7.5703125" style="11" customWidth="1"/>
    <col min="12292" max="12292" width="29.42578125" style="11" customWidth="1"/>
    <col min="12293" max="12293" width="10.85546875" style="11" customWidth="1"/>
    <col min="12294" max="12294" width="11.42578125" style="11" customWidth="1"/>
    <col min="12295" max="12295" width="9.7109375" style="11" customWidth="1"/>
    <col min="12296" max="12296" width="9" style="11" customWidth="1"/>
    <col min="12297" max="12297" width="6.7109375" style="11" bestFit="1" customWidth="1"/>
    <col min="12298" max="12298" width="13.28515625" style="11" customWidth="1"/>
    <col min="12299" max="12299" width="13.42578125" style="11" bestFit="1" customWidth="1"/>
    <col min="12300" max="12300" width="2.5703125" style="11" customWidth="1"/>
    <col min="12301" max="12301" width="17" style="11" customWidth="1"/>
    <col min="12302" max="12302" width="12.42578125" style="11" bestFit="1" customWidth="1"/>
    <col min="12303" max="12544" width="11.5703125" style="11"/>
    <col min="12545" max="12545" width="7.7109375" style="11" customWidth="1"/>
    <col min="12546" max="12547" width="7.5703125" style="11" customWidth="1"/>
    <col min="12548" max="12548" width="29.42578125" style="11" customWidth="1"/>
    <col min="12549" max="12549" width="10.85546875" style="11" customWidth="1"/>
    <col min="12550" max="12550" width="11.42578125" style="11" customWidth="1"/>
    <col min="12551" max="12551" width="9.7109375" style="11" customWidth="1"/>
    <col min="12552" max="12552" width="9" style="11" customWidth="1"/>
    <col min="12553" max="12553" width="6.7109375" style="11" bestFit="1" customWidth="1"/>
    <col min="12554" max="12554" width="13.28515625" style="11" customWidth="1"/>
    <col min="12555" max="12555" width="13.42578125" style="11" bestFit="1" customWidth="1"/>
    <col min="12556" max="12556" width="2.5703125" style="11" customWidth="1"/>
    <col min="12557" max="12557" width="17" style="11" customWidth="1"/>
    <col min="12558" max="12558" width="12.42578125" style="11" bestFit="1" customWidth="1"/>
    <col min="12559" max="12800" width="11.5703125" style="11"/>
    <col min="12801" max="12801" width="7.7109375" style="11" customWidth="1"/>
    <col min="12802" max="12803" width="7.5703125" style="11" customWidth="1"/>
    <col min="12804" max="12804" width="29.42578125" style="11" customWidth="1"/>
    <col min="12805" max="12805" width="10.85546875" style="11" customWidth="1"/>
    <col min="12806" max="12806" width="11.42578125" style="11" customWidth="1"/>
    <col min="12807" max="12807" width="9.7109375" style="11" customWidth="1"/>
    <col min="12808" max="12808" width="9" style="11" customWidth="1"/>
    <col min="12809" max="12809" width="6.7109375" style="11" bestFit="1" customWidth="1"/>
    <col min="12810" max="12810" width="13.28515625" style="11" customWidth="1"/>
    <col min="12811" max="12811" width="13.42578125" style="11" bestFit="1" customWidth="1"/>
    <col min="12812" max="12812" width="2.5703125" style="11" customWidth="1"/>
    <col min="12813" max="12813" width="17" style="11" customWidth="1"/>
    <col min="12814" max="12814" width="12.42578125" style="11" bestFit="1" customWidth="1"/>
    <col min="12815" max="13056" width="11.5703125" style="11"/>
    <col min="13057" max="13057" width="7.7109375" style="11" customWidth="1"/>
    <col min="13058" max="13059" width="7.5703125" style="11" customWidth="1"/>
    <col min="13060" max="13060" width="29.42578125" style="11" customWidth="1"/>
    <col min="13061" max="13061" width="10.85546875" style="11" customWidth="1"/>
    <col min="13062" max="13062" width="11.42578125" style="11" customWidth="1"/>
    <col min="13063" max="13063" width="9.7109375" style="11" customWidth="1"/>
    <col min="13064" max="13064" width="9" style="11" customWidth="1"/>
    <col min="13065" max="13065" width="6.7109375" style="11" bestFit="1" customWidth="1"/>
    <col min="13066" max="13066" width="13.28515625" style="11" customWidth="1"/>
    <col min="13067" max="13067" width="13.42578125" style="11" bestFit="1" customWidth="1"/>
    <col min="13068" max="13068" width="2.5703125" style="11" customWidth="1"/>
    <col min="13069" max="13069" width="17" style="11" customWidth="1"/>
    <col min="13070" max="13070" width="12.42578125" style="11" bestFit="1" customWidth="1"/>
    <col min="13071" max="13312" width="11.5703125" style="11"/>
    <col min="13313" max="13313" width="7.7109375" style="11" customWidth="1"/>
    <col min="13314" max="13315" width="7.5703125" style="11" customWidth="1"/>
    <col min="13316" max="13316" width="29.42578125" style="11" customWidth="1"/>
    <col min="13317" max="13317" width="10.85546875" style="11" customWidth="1"/>
    <col min="13318" max="13318" width="11.42578125" style="11" customWidth="1"/>
    <col min="13319" max="13319" width="9.7109375" style="11" customWidth="1"/>
    <col min="13320" max="13320" width="9" style="11" customWidth="1"/>
    <col min="13321" max="13321" width="6.7109375" style="11" bestFit="1" customWidth="1"/>
    <col min="13322" max="13322" width="13.28515625" style="11" customWidth="1"/>
    <col min="13323" max="13323" width="13.42578125" style="11" bestFit="1" customWidth="1"/>
    <col min="13324" max="13324" width="2.5703125" style="11" customWidth="1"/>
    <col min="13325" max="13325" width="17" style="11" customWidth="1"/>
    <col min="13326" max="13326" width="12.42578125" style="11" bestFit="1" customWidth="1"/>
    <col min="13327" max="13568" width="11.5703125" style="11"/>
    <col min="13569" max="13569" width="7.7109375" style="11" customWidth="1"/>
    <col min="13570" max="13571" width="7.5703125" style="11" customWidth="1"/>
    <col min="13572" max="13572" width="29.42578125" style="11" customWidth="1"/>
    <col min="13573" max="13573" width="10.85546875" style="11" customWidth="1"/>
    <col min="13574" max="13574" width="11.42578125" style="11" customWidth="1"/>
    <col min="13575" max="13575" width="9.7109375" style="11" customWidth="1"/>
    <col min="13576" max="13576" width="9" style="11" customWidth="1"/>
    <col min="13577" max="13577" width="6.7109375" style="11" bestFit="1" customWidth="1"/>
    <col min="13578" max="13578" width="13.28515625" style="11" customWidth="1"/>
    <col min="13579" max="13579" width="13.42578125" style="11" bestFit="1" customWidth="1"/>
    <col min="13580" max="13580" width="2.5703125" style="11" customWidth="1"/>
    <col min="13581" max="13581" width="17" style="11" customWidth="1"/>
    <col min="13582" max="13582" width="12.42578125" style="11" bestFit="1" customWidth="1"/>
    <col min="13583" max="13824" width="11.5703125" style="11"/>
    <col min="13825" max="13825" width="7.7109375" style="11" customWidth="1"/>
    <col min="13826" max="13827" width="7.5703125" style="11" customWidth="1"/>
    <col min="13828" max="13828" width="29.42578125" style="11" customWidth="1"/>
    <col min="13829" max="13829" width="10.85546875" style="11" customWidth="1"/>
    <col min="13830" max="13830" width="11.42578125" style="11" customWidth="1"/>
    <col min="13831" max="13831" width="9.7109375" style="11" customWidth="1"/>
    <col min="13832" max="13832" width="9" style="11" customWidth="1"/>
    <col min="13833" max="13833" width="6.7109375" style="11" bestFit="1" customWidth="1"/>
    <col min="13834" max="13834" width="13.28515625" style="11" customWidth="1"/>
    <col min="13835" max="13835" width="13.42578125" style="11" bestFit="1" customWidth="1"/>
    <col min="13836" max="13836" width="2.5703125" style="11" customWidth="1"/>
    <col min="13837" max="13837" width="17" style="11" customWidth="1"/>
    <col min="13838" max="13838" width="12.42578125" style="11" bestFit="1" customWidth="1"/>
    <col min="13839" max="14080" width="11.5703125" style="11"/>
    <col min="14081" max="14081" width="7.7109375" style="11" customWidth="1"/>
    <col min="14082" max="14083" width="7.5703125" style="11" customWidth="1"/>
    <col min="14084" max="14084" width="29.42578125" style="11" customWidth="1"/>
    <col min="14085" max="14085" width="10.85546875" style="11" customWidth="1"/>
    <col min="14086" max="14086" width="11.42578125" style="11" customWidth="1"/>
    <col min="14087" max="14087" width="9.7109375" style="11" customWidth="1"/>
    <col min="14088" max="14088" width="9" style="11" customWidth="1"/>
    <col min="14089" max="14089" width="6.7109375" style="11" bestFit="1" customWidth="1"/>
    <col min="14090" max="14090" width="13.28515625" style="11" customWidth="1"/>
    <col min="14091" max="14091" width="13.42578125" style="11" bestFit="1" customWidth="1"/>
    <col min="14092" max="14092" width="2.5703125" style="11" customWidth="1"/>
    <col min="14093" max="14093" width="17" style="11" customWidth="1"/>
    <col min="14094" max="14094" width="12.42578125" style="11" bestFit="1" customWidth="1"/>
    <col min="14095" max="14336" width="11.5703125" style="11"/>
    <col min="14337" max="14337" width="7.7109375" style="11" customWidth="1"/>
    <col min="14338" max="14339" width="7.5703125" style="11" customWidth="1"/>
    <col min="14340" max="14340" width="29.42578125" style="11" customWidth="1"/>
    <col min="14341" max="14341" width="10.85546875" style="11" customWidth="1"/>
    <col min="14342" max="14342" width="11.42578125" style="11" customWidth="1"/>
    <col min="14343" max="14343" width="9.7109375" style="11" customWidth="1"/>
    <col min="14344" max="14344" width="9" style="11" customWidth="1"/>
    <col min="14345" max="14345" width="6.7109375" style="11" bestFit="1" customWidth="1"/>
    <col min="14346" max="14346" width="13.28515625" style="11" customWidth="1"/>
    <col min="14347" max="14347" width="13.42578125" style="11" bestFit="1" customWidth="1"/>
    <col min="14348" max="14348" width="2.5703125" style="11" customWidth="1"/>
    <col min="14349" max="14349" width="17" style="11" customWidth="1"/>
    <col min="14350" max="14350" width="12.42578125" style="11" bestFit="1" customWidth="1"/>
    <col min="14351" max="14592" width="11.5703125" style="11"/>
    <col min="14593" max="14593" width="7.7109375" style="11" customWidth="1"/>
    <col min="14594" max="14595" width="7.5703125" style="11" customWidth="1"/>
    <col min="14596" max="14596" width="29.42578125" style="11" customWidth="1"/>
    <col min="14597" max="14597" width="10.85546875" style="11" customWidth="1"/>
    <col min="14598" max="14598" width="11.42578125" style="11" customWidth="1"/>
    <col min="14599" max="14599" width="9.7109375" style="11" customWidth="1"/>
    <col min="14600" max="14600" width="9" style="11" customWidth="1"/>
    <col min="14601" max="14601" width="6.7109375" style="11" bestFit="1" customWidth="1"/>
    <col min="14602" max="14602" width="13.28515625" style="11" customWidth="1"/>
    <col min="14603" max="14603" width="13.42578125" style="11" bestFit="1" customWidth="1"/>
    <col min="14604" max="14604" width="2.5703125" style="11" customWidth="1"/>
    <col min="14605" max="14605" width="17" style="11" customWidth="1"/>
    <col min="14606" max="14606" width="12.42578125" style="11" bestFit="1" customWidth="1"/>
    <col min="14607" max="14848" width="11.5703125" style="11"/>
    <col min="14849" max="14849" width="7.7109375" style="11" customWidth="1"/>
    <col min="14850" max="14851" width="7.5703125" style="11" customWidth="1"/>
    <col min="14852" max="14852" width="29.42578125" style="11" customWidth="1"/>
    <col min="14853" max="14853" width="10.85546875" style="11" customWidth="1"/>
    <col min="14854" max="14854" width="11.42578125" style="11" customWidth="1"/>
    <col min="14855" max="14855" width="9.7109375" style="11" customWidth="1"/>
    <col min="14856" max="14856" width="9" style="11" customWidth="1"/>
    <col min="14857" max="14857" width="6.7109375" style="11" bestFit="1" customWidth="1"/>
    <col min="14858" max="14858" width="13.28515625" style="11" customWidth="1"/>
    <col min="14859" max="14859" width="13.42578125" style="11" bestFit="1" customWidth="1"/>
    <col min="14860" max="14860" width="2.5703125" style="11" customWidth="1"/>
    <col min="14861" max="14861" width="17" style="11" customWidth="1"/>
    <col min="14862" max="14862" width="12.42578125" style="11" bestFit="1" customWidth="1"/>
    <col min="14863" max="15104" width="11.5703125" style="11"/>
    <col min="15105" max="15105" width="7.7109375" style="11" customWidth="1"/>
    <col min="15106" max="15107" width="7.5703125" style="11" customWidth="1"/>
    <col min="15108" max="15108" width="29.42578125" style="11" customWidth="1"/>
    <col min="15109" max="15109" width="10.85546875" style="11" customWidth="1"/>
    <col min="15110" max="15110" width="11.42578125" style="11" customWidth="1"/>
    <col min="15111" max="15111" width="9.7109375" style="11" customWidth="1"/>
    <col min="15112" max="15112" width="9" style="11" customWidth="1"/>
    <col min="15113" max="15113" width="6.7109375" style="11" bestFit="1" customWidth="1"/>
    <col min="15114" max="15114" width="13.28515625" style="11" customWidth="1"/>
    <col min="15115" max="15115" width="13.42578125" style="11" bestFit="1" customWidth="1"/>
    <col min="15116" max="15116" width="2.5703125" style="11" customWidth="1"/>
    <col min="15117" max="15117" width="17" style="11" customWidth="1"/>
    <col min="15118" max="15118" width="12.42578125" style="11" bestFit="1" customWidth="1"/>
    <col min="15119" max="15360" width="11.5703125" style="11"/>
    <col min="15361" max="15361" width="7.7109375" style="11" customWidth="1"/>
    <col min="15362" max="15363" width="7.5703125" style="11" customWidth="1"/>
    <col min="15364" max="15364" width="29.42578125" style="11" customWidth="1"/>
    <col min="15365" max="15365" width="10.85546875" style="11" customWidth="1"/>
    <col min="15366" max="15366" width="11.42578125" style="11" customWidth="1"/>
    <col min="15367" max="15367" width="9.7109375" style="11" customWidth="1"/>
    <col min="15368" max="15368" width="9" style="11" customWidth="1"/>
    <col min="15369" max="15369" width="6.7109375" style="11" bestFit="1" customWidth="1"/>
    <col min="15370" max="15370" width="13.28515625" style="11" customWidth="1"/>
    <col min="15371" max="15371" width="13.42578125" style="11" bestFit="1" customWidth="1"/>
    <col min="15372" max="15372" width="2.5703125" style="11" customWidth="1"/>
    <col min="15373" max="15373" width="17" style="11" customWidth="1"/>
    <col min="15374" max="15374" width="12.42578125" style="11" bestFit="1" customWidth="1"/>
    <col min="15375" max="15616" width="11.5703125" style="11"/>
    <col min="15617" max="15617" width="7.7109375" style="11" customWidth="1"/>
    <col min="15618" max="15619" width="7.5703125" style="11" customWidth="1"/>
    <col min="15620" max="15620" width="29.42578125" style="11" customWidth="1"/>
    <col min="15621" max="15621" width="10.85546875" style="11" customWidth="1"/>
    <col min="15622" max="15622" width="11.42578125" style="11" customWidth="1"/>
    <col min="15623" max="15623" width="9.7109375" style="11" customWidth="1"/>
    <col min="15624" max="15624" width="9" style="11" customWidth="1"/>
    <col min="15625" max="15625" width="6.7109375" style="11" bestFit="1" customWidth="1"/>
    <col min="15626" max="15626" width="13.28515625" style="11" customWidth="1"/>
    <col min="15627" max="15627" width="13.42578125" style="11" bestFit="1" customWidth="1"/>
    <col min="15628" max="15628" width="2.5703125" style="11" customWidth="1"/>
    <col min="15629" max="15629" width="17" style="11" customWidth="1"/>
    <col min="15630" max="15630" width="12.42578125" style="11" bestFit="1" customWidth="1"/>
    <col min="15631" max="15872" width="11.5703125" style="11"/>
    <col min="15873" max="15873" width="7.7109375" style="11" customWidth="1"/>
    <col min="15874" max="15875" width="7.5703125" style="11" customWidth="1"/>
    <col min="15876" max="15876" width="29.42578125" style="11" customWidth="1"/>
    <col min="15877" max="15877" width="10.85546875" style="11" customWidth="1"/>
    <col min="15878" max="15878" width="11.42578125" style="11" customWidth="1"/>
    <col min="15879" max="15879" width="9.7109375" style="11" customWidth="1"/>
    <col min="15880" max="15880" width="9" style="11" customWidth="1"/>
    <col min="15881" max="15881" width="6.7109375" style="11" bestFit="1" customWidth="1"/>
    <col min="15882" max="15882" width="13.28515625" style="11" customWidth="1"/>
    <col min="15883" max="15883" width="13.42578125" style="11" bestFit="1" customWidth="1"/>
    <col min="15884" max="15884" width="2.5703125" style="11" customWidth="1"/>
    <col min="15885" max="15885" width="17" style="11" customWidth="1"/>
    <col min="15886" max="15886" width="12.42578125" style="11" bestFit="1" customWidth="1"/>
    <col min="15887" max="16128" width="11.5703125" style="11"/>
    <col min="16129" max="16129" width="7.7109375" style="11" customWidth="1"/>
    <col min="16130" max="16131" width="7.5703125" style="11" customWidth="1"/>
    <col min="16132" max="16132" width="29.42578125" style="11" customWidth="1"/>
    <col min="16133" max="16133" width="10.85546875" style="11" customWidth="1"/>
    <col min="16134" max="16134" width="11.42578125" style="11" customWidth="1"/>
    <col min="16135" max="16135" width="9.7109375" style="11" customWidth="1"/>
    <col min="16136" max="16136" width="9" style="11" customWidth="1"/>
    <col min="16137" max="16137" width="6.7109375" style="11" bestFit="1" customWidth="1"/>
    <col min="16138" max="16138" width="13.28515625" style="11" customWidth="1"/>
    <col min="16139" max="16139" width="13.42578125" style="11" bestFit="1" customWidth="1"/>
    <col min="16140" max="16140" width="2.5703125" style="11" customWidth="1"/>
    <col min="16141" max="16141" width="17" style="11" customWidth="1"/>
    <col min="16142" max="16142" width="12.42578125" style="11" bestFit="1" customWidth="1"/>
    <col min="16143" max="16384" width="11.5703125" style="11"/>
  </cols>
  <sheetData>
    <row r="1" spans="1:13" customFormat="1" ht="12.75">
      <c r="A1" s="784"/>
      <c r="B1" s="10"/>
      <c r="C1" s="10"/>
      <c r="D1" s="10"/>
      <c r="E1" s="10"/>
      <c r="F1" s="10"/>
      <c r="G1" s="10"/>
      <c r="H1" s="10"/>
      <c r="I1" s="10"/>
      <c r="J1" s="247">
        <v>14</v>
      </c>
      <c r="K1" s="788"/>
      <c r="L1" s="10"/>
    </row>
    <row r="2" spans="1:13" customFormat="1" ht="12.75">
      <c r="A2" s="1104" t="s">
        <v>199</v>
      </c>
      <c r="B2" s="1104"/>
      <c r="C2" s="1104"/>
      <c r="D2" s="1104"/>
      <c r="E2" s="1104"/>
      <c r="F2" s="1104"/>
      <c r="G2" s="1104"/>
      <c r="H2" s="1104"/>
      <c r="I2" s="1104"/>
      <c r="J2" s="1104"/>
      <c r="K2" s="788"/>
      <c r="L2" s="10"/>
    </row>
    <row r="3" spans="1:13" customFormat="1" ht="12.75">
      <c r="A3" s="1104" t="s">
        <v>1357</v>
      </c>
      <c r="B3" s="1104"/>
      <c r="C3" s="1104"/>
      <c r="D3" s="1104"/>
      <c r="E3" s="1104"/>
      <c r="F3" s="1104"/>
      <c r="G3" s="1104"/>
      <c r="H3" s="1104"/>
      <c r="I3" s="1104"/>
      <c r="J3" s="1104"/>
      <c r="K3" s="788"/>
      <c r="L3" s="10"/>
    </row>
    <row r="4" spans="1:13" ht="12.75">
      <c r="A4" s="1104" t="s">
        <v>50</v>
      </c>
      <c r="B4" s="1104"/>
      <c r="C4" s="1104"/>
      <c r="D4" s="1104"/>
      <c r="E4" s="1104"/>
      <c r="F4" s="1104"/>
      <c r="G4" s="1104"/>
      <c r="H4" s="1104"/>
      <c r="I4" s="1104"/>
      <c r="J4" s="1104"/>
      <c r="K4" s="230"/>
      <c r="L4" s="12"/>
    </row>
    <row r="5" spans="1:13" ht="12.75">
      <c r="A5" s="1104" t="s">
        <v>1279</v>
      </c>
      <c r="B5" s="1104"/>
      <c r="C5" s="1104"/>
      <c r="D5" s="1104"/>
      <c r="E5" s="1104"/>
      <c r="F5" s="1104"/>
      <c r="G5" s="1104"/>
      <c r="H5" s="1104"/>
      <c r="I5" s="1104"/>
      <c r="J5" s="1104"/>
    </row>
    <row r="6" spans="1:13" ht="12.75">
      <c r="A6" s="948"/>
      <c r="B6" s="905"/>
      <c r="C6" s="905"/>
      <c r="D6" s="905"/>
      <c r="E6" s="905"/>
      <c r="F6" s="905"/>
      <c r="G6" s="905"/>
      <c r="H6" s="905"/>
      <c r="I6" s="905"/>
      <c r="J6" s="905"/>
    </row>
    <row r="7" spans="1:13" ht="12.75" customHeight="1">
      <c r="A7" s="1105" t="s">
        <v>52</v>
      </c>
      <c r="B7" s="906" t="s">
        <v>53</v>
      </c>
      <c r="C7" s="907"/>
      <c r="D7" s="908"/>
      <c r="E7" s="909" t="s">
        <v>54</v>
      </c>
      <c r="F7" s="909" t="s">
        <v>55</v>
      </c>
      <c r="G7" s="906" t="s">
        <v>56</v>
      </c>
      <c r="H7" s="909" t="s">
        <v>53</v>
      </c>
      <c r="I7" s="906" t="s">
        <v>57</v>
      </c>
      <c r="J7" s="909" t="s">
        <v>1022</v>
      </c>
      <c r="L7" s="11"/>
    </row>
    <row r="8" spans="1:13" ht="12" customHeight="1">
      <c r="A8" s="1106"/>
      <c r="B8" s="910" t="s">
        <v>58</v>
      </c>
      <c r="C8" s="911" t="s">
        <v>59</v>
      </c>
      <c r="D8" s="912" t="s">
        <v>60</v>
      </c>
      <c r="E8" s="913" t="s">
        <v>61</v>
      </c>
      <c r="F8" s="913" t="s">
        <v>62</v>
      </c>
      <c r="G8" s="910" t="s">
        <v>61</v>
      </c>
      <c r="H8" s="913" t="s">
        <v>383</v>
      </c>
      <c r="I8" s="910">
        <v>0</v>
      </c>
      <c r="J8" s="913" t="s">
        <v>64</v>
      </c>
      <c r="L8" s="11"/>
    </row>
    <row r="9" spans="1:13" ht="12" customHeight="1">
      <c r="A9" s="1106"/>
      <c r="B9" s="910"/>
      <c r="C9" s="912" t="s">
        <v>65</v>
      </c>
      <c r="D9" s="912" t="s">
        <v>66</v>
      </c>
      <c r="E9" s="913" t="s">
        <v>58</v>
      </c>
      <c r="F9" s="913" t="s">
        <v>61</v>
      </c>
      <c r="G9" s="910" t="s">
        <v>383</v>
      </c>
      <c r="H9" s="913" t="s">
        <v>384</v>
      </c>
      <c r="I9" s="910" t="s">
        <v>386</v>
      </c>
      <c r="J9" s="913" t="s">
        <v>69</v>
      </c>
      <c r="L9" s="11"/>
    </row>
    <row r="10" spans="1:13" ht="12" customHeight="1">
      <c r="A10" s="1107"/>
      <c r="B10" s="914"/>
      <c r="C10" s="915"/>
      <c r="D10" s="916"/>
      <c r="E10" s="917"/>
      <c r="F10" s="918" t="s">
        <v>70</v>
      </c>
      <c r="G10" s="914" t="s">
        <v>387</v>
      </c>
      <c r="H10" s="917"/>
      <c r="I10" s="914" t="s">
        <v>385</v>
      </c>
      <c r="J10" s="913"/>
      <c r="L10" s="11"/>
    </row>
    <row r="11" spans="1:13">
      <c r="A11" s="919"/>
      <c r="B11" s="920"/>
      <c r="C11" s="921"/>
      <c r="D11" s="920"/>
      <c r="E11" s="920"/>
      <c r="F11" s="920"/>
      <c r="G11" s="922"/>
      <c r="H11" s="923"/>
      <c r="I11" s="923"/>
      <c r="J11" s="924"/>
      <c r="L11" s="11"/>
    </row>
    <row r="12" spans="1:13" ht="12.75">
      <c r="A12" s="925"/>
      <c r="B12" s="926"/>
      <c r="C12" s="905"/>
      <c r="D12" s="926"/>
      <c r="E12" s="930"/>
      <c r="F12" s="926"/>
      <c r="G12" s="927"/>
      <c r="H12" s="927"/>
      <c r="I12" s="926"/>
      <c r="J12" s="934"/>
      <c r="K12" s="232"/>
      <c r="L12" s="35"/>
      <c r="M12" s="33"/>
    </row>
    <row r="13" spans="1:13" ht="12.75">
      <c r="A13" s="925"/>
      <c r="B13" s="926"/>
      <c r="C13" s="905"/>
      <c r="D13" s="930" t="s">
        <v>1470</v>
      </c>
      <c r="E13" s="930"/>
      <c r="F13" s="951"/>
      <c r="G13" s="927"/>
      <c r="H13" s="927"/>
      <c r="I13" s="926"/>
      <c r="J13" s="934"/>
      <c r="K13" s="232"/>
      <c r="L13" s="35"/>
      <c r="M13" s="231"/>
    </row>
    <row r="14" spans="1:13" ht="12.75">
      <c r="A14" s="925"/>
      <c r="B14" s="926"/>
      <c r="C14" s="905"/>
      <c r="D14" s="926"/>
      <c r="E14" s="930"/>
      <c r="F14" s="926"/>
      <c r="G14" s="927"/>
      <c r="H14" s="927"/>
      <c r="I14" s="926"/>
      <c r="J14" s="934"/>
      <c r="K14" s="232"/>
      <c r="L14" s="35"/>
      <c r="M14" s="231"/>
    </row>
    <row r="15" spans="1:13">
      <c r="A15" s="925">
        <v>1</v>
      </c>
      <c r="B15" s="928">
        <v>102</v>
      </c>
      <c r="C15" s="956">
        <v>8</v>
      </c>
      <c r="D15" s="926" t="s">
        <v>351</v>
      </c>
      <c r="E15" s="927">
        <v>325249.91210387426</v>
      </c>
      <c r="F15" s="946">
        <v>0</v>
      </c>
      <c r="G15" s="927">
        <v>325249.91210387426</v>
      </c>
      <c r="H15" s="928">
        <v>105</v>
      </c>
      <c r="I15" s="926">
        <v>12</v>
      </c>
      <c r="J15" s="929">
        <v>3902998.9452464911</v>
      </c>
      <c r="K15" s="232"/>
      <c r="L15" s="35"/>
      <c r="M15" s="231"/>
    </row>
    <row r="16" spans="1:13">
      <c r="A16" s="925">
        <v>1</v>
      </c>
      <c r="B16" s="928">
        <v>102</v>
      </c>
      <c r="C16" s="956">
        <v>8</v>
      </c>
      <c r="D16" s="926" t="s">
        <v>1471</v>
      </c>
      <c r="E16" s="927">
        <v>681822.55489378492</v>
      </c>
      <c r="F16" s="946">
        <v>0</v>
      </c>
      <c r="G16" s="927">
        <v>681822.55489378492</v>
      </c>
      <c r="H16" s="928">
        <v>105</v>
      </c>
      <c r="I16" s="926">
        <v>12</v>
      </c>
      <c r="J16" s="929">
        <v>8181870.6587254191</v>
      </c>
      <c r="K16" s="232"/>
      <c r="L16" s="35"/>
      <c r="M16" s="231"/>
    </row>
    <row r="17" spans="1:13">
      <c r="A17" s="925">
        <v>1</v>
      </c>
      <c r="B17" s="928">
        <v>102</v>
      </c>
      <c r="C17" s="956">
        <v>8</v>
      </c>
      <c r="D17" s="926" t="s">
        <v>1472</v>
      </c>
      <c r="E17" s="927">
        <v>570060.05575048155</v>
      </c>
      <c r="F17" s="946">
        <v>0</v>
      </c>
      <c r="G17" s="927">
        <v>570060.05575048155</v>
      </c>
      <c r="H17" s="928">
        <v>105</v>
      </c>
      <c r="I17" s="926">
        <v>12</v>
      </c>
      <c r="J17" s="929">
        <v>6840720.6690057786</v>
      </c>
      <c r="K17" s="232"/>
      <c r="L17" s="35"/>
      <c r="M17" s="231"/>
    </row>
    <row r="18" spans="1:13">
      <c r="A18" s="925">
        <v>2</v>
      </c>
      <c r="B18" s="928">
        <v>102</v>
      </c>
      <c r="C18" s="956">
        <v>8</v>
      </c>
      <c r="D18" s="926" t="s">
        <v>1473</v>
      </c>
      <c r="E18" s="927">
        <v>364508.7</v>
      </c>
      <c r="F18" s="946">
        <v>0</v>
      </c>
      <c r="G18" s="927">
        <v>364508.7</v>
      </c>
      <c r="H18" s="928">
        <v>105</v>
      </c>
      <c r="I18" s="926">
        <v>12</v>
      </c>
      <c r="J18" s="929">
        <v>8748208.8000000007</v>
      </c>
      <c r="K18" s="232"/>
      <c r="L18" s="35"/>
      <c r="M18" s="231" t="s">
        <v>442</v>
      </c>
    </row>
    <row r="19" spans="1:13">
      <c r="A19" s="925">
        <v>1</v>
      </c>
      <c r="B19" s="928">
        <v>102</v>
      </c>
      <c r="C19" s="956">
        <v>8</v>
      </c>
      <c r="D19" s="926" t="s">
        <v>1280</v>
      </c>
      <c r="E19" s="927">
        <v>358976.22</v>
      </c>
      <c r="F19" s="946">
        <v>0</v>
      </c>
      <c r="G19" s="927">
        <v>358976.22</v>
      </c>
      <c r="H19" s="928">
        <v>105</v>
      </c>
      <c r="I19" s="926">
        <v>12</v>
      </c>
      <c r="J19" s="929">
        <v>4307714.6399999997</v>
      </c>
      <c r="K19" s="232"/>
      <c r="L19" s="35"/>
      <c r="M19" s="790"/>
    </row>
    <row r="20" spans="1:13">
      <c r="A20" s="925"/>
      <c r="B20" s="928"/>
      <c r="C20" s="956"/>
      <c r="D20" s="926"/>
      <c r="E20" s="927"/>
      <c r="F20" s="946"/>
      <c r="G20" s="927"/>
      <c r="H20" s="928"/>
      <c r="I20" s="926"/>
      <c r="J20" s="929"/>
      <c r="K20" s="232"/>
      <c r="L20" s="35"/>
      <c r="M20" s="231"/>
    </row>
    <row r="21" spans="1:13">
      <c r="A21" s="931"/>
      <c r="B21" s="932"/>
      <c r="C21" s="933"/>
      <c r="D21" s="926"/>
      <c r="E21" s="927"/>
      <c r="F21" s="946"/>
      <c r="G21" s="927"/>
      <c r="H21" s="928"/>
      <c r="I21" s="926"/>
      <c r="J21" s="929"/>
      <c r="K21" s="232"/>
      <c r="L21" s="35"/>
      <c r="M21" s="231">
        <f>+J21</f>
        <v>0</v>
      </c>
    </row>
    <row r="22" spans="1:13" ht="12.75">
      <c r="A22" s="928"/>
      <c r="B22" s="954"/>
      <c r="C22" s="905"/>
      <c r="D22" s="949"/>
      <c r="E22" s="951"/>
      <c r="F22" s="946"/>
      <c r="G22" s="927"/>
      <c r="H22" s="928"/>
      <c r="I22" s="926"/>
      <c r="J22" s="929"/>
      <c r="K22" s="232"/>
      <c r="L22" s="35"/>
      <c r="M22" s="231"/>
    </row>
    <row r="23" spans="1:13" ht="13.5" thickBot="1">
      <c r="A23" s="957"/>
      <c r="B23" s="928"/>
      <c r="C23" s="905"/>
      <c r="D23" s="930" t="s">
        <v>380</v>
      </c>
      <c r="E23" s="930"/>
      <c r="F23" s="946"/>
      <c r="G23" s="927"/>
      <c r="H23" s="928"/>
      <c r="I23" s="926"/>
      <c r="J23" s="929">
        <v>31981513.712977689</v>
      </c>
      <c r="K23" s="232"/>
      <c r="L23" s="35"/>
      <c r="M23" s="231"/>
    </row>
    <row r="24" spans="1:13" ht="13.5" thickTop="1">
      <c r="A24" s="925">
        <v>6</v>
      </c>
      <c r="B24" s="926"/>
      <c r="C24" s="905"/>
      <c r="D24" s="926"/>
      <c r="E24" s="930"/>
      <c r="F24" s="926"/>
      <c r="G24" s="927"/>
      <c r="H24" s="927"/>
      <c r="I24" s="926"/>
      <c r="J24" s="929"/>
      <c r="K24" s="232"/>
      <c r="L24" s="35"/>
      <c r="M24" s="231"/>
    </row>
    <row r="25" spans="1:13" ht="12.75">
      <c r="A25" s="925"/>
      <c r="B25" s="926"/>
      <c r="C25" s="905"/>
      <c r="D25" s="926"/>
      <c r="E25" s="930"/>
      <c r="F25" s="926"/>
      <c r="G25" s="927"/>
      <c r="H25" s="927"/>
      <c r="I25" s="926"/>
      <c r="J25" s="934"/>
      <c r="K25" s="232"/>
      <c r="L25" s="35"/>
      <c r="M25" s="231"/>
    </row>
    <row r="26" spans="1:13" ht="12.75">
      <c r="A26" s="934"/>
      <c r="B26" s="926"/>
      <c r="C26" s="905"/>
      <c r="D26" s="930"/>
      <c r="E26" s="930"/>
      <c r="F26" s="926"/>
      <c r="G26" s="927"/>
      <c r="H26" s="927"/>
      <c r="I26" s="926"/>
      <c r="J26" s="935"/>
      <c r="K26" s="231"/>
      <c r="L26" s="35"/>
      <c r="M26" s="231"/>
    </row>
    <row r="27" spans="1:13" ht="12.75" thickBot="1">
      <c r="A27" s="934"/>
      <c r="B27" s="937"/>
      <c r="C27" s="926"/>
      <c r="D27" s="926"/>
      <c r="E27" s="955"/>
      <c r="F27" s="926"/>
      <c r="G27" s="927"/>
      <c r="H27" s="927"/>
      <c r="I27" s="926"/>
      <c r="J27" s="953"/>
      <c r="K27" s="231"/>
      <c r="L27" s="35"/>
      <c r="M27" s="231"/>
    </row>
    <row r="28" spans="1:13" ht="12.75" thickBot="1">
      <c r="A28" s="938">
        <v>6</v>
      </c>
      <c r="B28" s="939" t="s">
        <v>80</v>
      </c>
      <c r="C28" s="940"/>
      <c r="D28" s="940"/>
      <c r="E28" s="940"/>
      <c r="F28" s="940"/>
      <c r="G28" s="940"/>
      <c r="H28" s="940"/>
      <c r="I28" s="940"/>
      <c r="J28" s="941"/>
      <c r="K28" s="231"/>
      <c r="M28" s="231"/>
    </row>
    <row r="29" spans="1:13">
      <c r="A29" s="910"/>
      <c r="B29" s="930"/>
      <c r="C29" s="926"/>
      <c r="D29" s="926"/>
      <c r="E29" s="926"/>
      <c r="F29" s="926"/>
      <c r="G29" s="926"/>
      <c r="H29" s="926"/>
      <c r="I29" s="926"/>
      <c r="J29" s="926"/>
      <c r="K29" s="231"/>
      <c r="M29" s="231"/>
    </row>
    <row r="30" spans="1:13" ht="12.75">
      <c r="A30" s="905"/>
      <c r="B30" s="905"/>
      <c r="C30" s="905"/>
      <c r="D30" s="905"/>
      <c r="E30" s="905"/>
      <c r="F30" s="905"/>
      <c r="G30" s="905"/>
      <c r="H30" s="905"/>
      <c r="I30" s="905"/>
      <c r="J30" s="950"/>
      <c r="K30" s="231"/>
      <c r="M30" s="235"/>
    </row>
    <row r="31" spans="1:13" ht="15.75" customHeight="1" thickBot="1">
      <c r="A31" s="942" t="s">
        <v>81</v>
      </c>
      <c r="B31" s="905"/>
      <c r="C31" s="905"/>
      <c r="D31" s="905"/>
      <c r="E31" s="952"/>
      <c r="F31" s="905"/>
      <c r="G31" s="905"/>
      <c r="H31" s="905"/>
      <c r="I31" s="905"/>
      <c r="J31" s="926"/>
      <c r="K31" s="231"/>
    </row>
    <row r="32" spans="1:13" ht="15" customHeight="1" thickBot="1">
      <c r="A32" s="936"/>
      <c r="B32" s="905"/>
      <c r="C32" s="905"/>
      <c r="D32" s="905"/>
      <c r="E32" s="905"/>
      <c r="F32" s="905"/>
      <c r="G32" s="905"/>
      <c r="H32" s="905"/>
      <c r="I32" s="1100" t="s">
        <v>82</v>
      </c>
      <c r="J32" s="1101"/>
      <c r="K32" s="233"/>
    </row>
    <row r="33" spans="1:14" ht="15.75" customHeight="1">
      <c r="A33" s="905"/>
      <c r="B33" s="1102" t="s">
        <v>1235</v>
      </c>
      <c r="C33" s="1102"/>
      <c r="D33" s="1102"/>
      <c r="E33" s="1102"/>
      <c r="F33" s="1102"/>
      <c r="G33" s="1102"/>
      <c r="H33" s="1102"/>
      <c r="I33" s="1108">
        <v>0</v>
      </c>
      <c r="J33" s="1108"/>
      <c r="K33" s="233"/>
    </row>
    <row r="34" spans="1:14" ht="15.75" customHeight="1">
      <c r="A34" s="905"/>
      <c r="B34" s="943" t="s">
        <v>83</v>
      </c>
      <c r="C34" s="944"/>
      <c r="D34" s="944"/>
      <c r="E34" s="944"/>
      <c r="F34" s="944"/>
      <c r="G34" s="944"/>
      <c r="H34" s="944"/>
      <c r="I34" s="1082">
        <v>0</v>
      </c>
      <c r="J34" s="1083"/>
      <c r="K34" s="233"/>
    </row>
    <row r="35" spans="1:14" ht="15.75" customHeight="1">
      <c r="A35" s="905"/>
      <c r="B35" s="1109" t="s">
        <v>84</v>
      </c>
      <c r="C35" s="1109"/>
      <c r="D35" s="1109"/>
      <c r="E35" s="1109"/>
      <c r="F35" s="1109"/>
      <c r="G35" s="1109"/>
      <c r="H35" s="1109"/>
      <c r="I35" s="1103">
        <f>+'Distribucion Programas II '!J30</f>
        <v>2916138.3833767315</v>
      </c>
      <c r="J35" s="1103"/>
      <c r="K35" s="233"/>
    </row>
    <row r="36" spans="1:14" ht="15.75" customHeight="1">
      <c r="A36" s="905"/>
      <c r="B36" s="1102" t="s">
        <v>85</v>
      </c>
      <c r="C36" s="1102"/>
      <c r="D36" s="1102"/>
      <c r="E36" s="1102"/>
      <c r="F36" s="1102"/>
      <c r="G36" s="1102"/>
      <c r="H36" s="1102"/>
      <c r="I36" s="1103">
        <v>0</v>
      </c>
      <c r="J36" s="1103"/>
      <c r="K36" s="233"/>
    </row>
    <row r="37" spans="1:14" ht="15.75" customHeight="1">
      <c r="A37" s="905"/>
      <c r="B37" s="1097" t="s">
        <v>86</v>
      </c>
      <c r="C37" s="1097"/>
      <c r="D37" s="1097"/>
      <c r="E37" s="1097"/>
      <c r="F37" s="1097"/>
      <c r="G37" s="1097"/>
      <c r="H37" s="1097"/>
      <c r="I37" s="1099">
        <v>0</v>
      </c>
      <c r="J37" s="1099"/>
      <c r="K37" s="233"/>
    </row>
    <row r="38" spans="1:14" ht="15.75" customHeight="1">
      <c r="A38" s="905"/>
      <c r="B38" s="1097" t="s">
        <v>87</v>
      </c>
      <c r="C38" s="1097"/>
      <c r="D38" s="1097"/>
      <c r="E38" s="1097"/>
      <c r="F38" s="1097"/>
      <c r="G38" s="1097"/>
      <c r="H38" s="1097"/>
      <c r="I38" s="1098">
        <v>0</v>
      </c>
      <c r="J38" s="1098"/>
      <c r="K38" s="233"/>
    </row>
    <row r="39" spans="1:14" ht="15.75" customHeight="1">
      <c r="A39" s="905"/>
      <c r="B39" s="1097" t="s">
        <v>87</v>
      </c>
      <c r="C39" s="1097"/>
      <c r="D39" s="1097"/>
      <c r="E39" s="1097"/>
      <c r="F39" s="1097"/>
      <c r="G39" s="1097"/>
      <c r="H39" s="1097"/>
      <c r="I39" s="1098">
        <v>0</v>
      </c>
      <c r="J39" s="1098"/>
      <c r="K39" s="233"/>
    </row>
    <row r="40" spans="1:14" ht="15.75" customHeight="1">
      <c r="A40" s="905"/>
      <c r="B40" s="1097" t="s">
        <v>87</v>
      </c>
      <c r="C40" s="1097"/>
      <c r="D40" s="1097"/>
      <c r="E40" s="1097"/>
      <c r="F40" s="1097"/>
      <c r="G40" s="1097"/>
      <c r="H40" s="1097"/>
      <c r="I40" s="1098">
        <v>0</v>
      </c>
      <c r="J40" s="1098"/>
      <c r="K40" s="233"/>
    </row>
    <row r="41" spans="1:14" ht="15.75" customHeight="1">
      <c r="A41" s="905"/>
      <c r="B41" s="945"/>
      <c r="C41" s="945"/>
      <c r="D41" s="945"/>
      <c r="E41" s="945"/>
      <c r="F41" s="945"/>
      <c r="G41" s="945"/>
      <c r="H41" s="945"/>
      <c r="I41" s="946"/>
      <c r="J41" s="946"/>
      <c r="K41" s="233"/>
      <c r="M41" s="194"/>
      <c r="N41" s="194"/>
    </row>
    <row r="42" spans="1:14" ht="15.75" customHeight="1">
      <c r="A42" s="905"/>
      <c r="B42" s="945"/>
      <c r="C42" s="945"/>
      <c r="D42" s="945"/>
      <c r="E42" s="945"/>
      <c r="F42" s="945"/>
      <c r="G42" s="945"/>
      <c r="H42" s="945"/>
      <c r="I42" s="946"/>
      <c r="J42" s="946"/>
      <c r="K42" s="233"/>
      <c r="M42" s="194"/>
      <c r="N42" s="194"/>
    </row>
    <row r="43" spans="1:14" ht="15.75" customHeight="1">
      <c r="A43" s="905"/>
      <c r="B43" s="945"/>
      <c r="C43" s="945"/>
      <c r="D43" s="945"/>
      <c r="E43" s="945"/>
      <c r="F43" s="945"/>
      <c r="G43" s="945"/>
      <c r="H43" s="945"/>
      <c r="I43" s="946"/>
      <c r="J43" s="946"/>
      <c r="K43" s="233"/>
      <c r="M43" s="194"/>
      <c r="N43" s="194"/>
    </row>
    <row r="44" spans="1:14" ht="15.75" customHeight="1">
      <c r="A44" s="905"/>
      <c r="B44" s="945"/>
      <c r="C44" s="945"/>
      <c r="D44" s="945"/>
      <c r="E44" s="945"/>
      <c r="F44" s="945"/>
      <c r="G44" s="945"/>
      <c r="H44" s="945"/>
      <c r="I44" s="946"/>
      <c r="J44" s="946"/>
      <c r="K44" s="233"/>
      <c r="M44" s="194"/>
      <c r="N44" s="194"/>
    </row>
    <row r="45" spans="1:14" ht="15.75" customHeight="1">
      <c r="A45" s="947" t="s">
        <v>1469</v>
      </c>
      <c r="B45" s="945"/>
      <c r="C45" s="945"/>
      <c r="D45" s="945"/>
      <c r="E45" s="945"/>
      <c r="F45" s="945"/>
      <c r="G45" s="945"/>
      <c r="H45" s="945"/>
      <c r="I45" s="946"/>
      <c r="J45" s="946"/>
      <c r="K45" s="233"/>
      <c r="M45" s="194"/>
      <c r="N45" s="194"/>
    </row>
    <row r="46" spans="1:14" ht="15.75" customHeight="1">
      <c r="A46" s="958">
        <v>44063</v>
      </c>
      <c r="B46" s="958"/>
      <c r="C46" s="945"/>
      <c r="D46" s="945"/>
      <c r="E46" s="945"/>
      <c r="F46" s="945"/>
      <c r="G46" s="945"/>
      <c r="H46" s="945"/>
      <c r="I46" s="946"/>
      <c r="J46" s="946"/>
      <c r="K46" s="233"/>
      <c r="M46" s="194"/>
      <c r="N46" s="194"/>
    </row>
    <row r="47" spans="1:14" ht="15.75" customHeight="1">
      <c r="B47" s="888"/>
      <c r="C47" s="888"/>
      <c r="D47" s="888"/>
      <c r="E47" s="888"/>
      <c r="F47" s="888"/>
      <c r="G47" s="888"/>
      <c r="H47" s="888"/>
      <c r="I47" s="887"/>
      <c r="J47" s="887"/>
      <c r="K47" s="233"/>
      <c r="M47" s="194"/>
      <c r="N47" s="194"/>
    </row>
    <row r="48" spans="1:14" ht="15.75" customHeight="1">
      <c r="B48" s="888"/>
      <c r="C48" s="888"/>
      <c r="D48" s="888"/>
      <c r="E48" s="888"/>
      <c r="F48" s="888"/>
      <c r="G48" s="888"/>
      <c r="H48" s="888"/>
      <c r="I48" s="887"/>
      <c r="J48" s="887"/>
      <c r="K48" s="233"/>
      <c r="M48" s="194"/>
      <c r="N48" s="194"/>
    </row>
    <row r="49" spans="1:14" ht="15.75" customHeight="1">
      <c r="B49" s="888"/>
      <c r="C49" s="888"/>
      <c r="D49" s="888"/>
      <c r="E49" s="888"/>
      <c r="F49" s="888"/>
      <c r="G49" s="888"/>
      <c r="H49" s="888"/>
      <c r="I49" s="887"/>
      <c r="J49" s="887"/>
      <c r="K49" s="233"/>
    </row>
    <row r="50" spans="1:14" ht="15.75" customHeight="1">
      <c r="B50" s="888"/>
      <c r="C50" s="888"/>
      <c r="D50" s="888"/>
      <c r="E50" s="888"/>
      <c r="F50" s="888"/>
      <c r="G50" s="888"/>
      <c r="H50" s="888"/>
      <c r="I50" s="887"/>
      <c r="J50" s="887"/>
      <c r="K50" s="233"/>
    </row>
    <row r="51" spans="1:14">
      <c r="A51" s="38"/>
      <c r="J51" s="33"/>
      <c r="K51" s="231"/>
    </row>
    <row r="52" spans="1:14" s="13" customFormat="1">
      <c r="A52" s="38"/>
      <c r="B52" s="11"/>
      <c r="C52" s="11"/>
      <c r="D52" s="11"/>
      <c r="E52" s="11"/>
      <c r="F52" s="11"/>
      <c r="G52" s="11"/>
      <c r="H52" s="11"/>
      <c r="I52" s="11"/>
      <c r="J52" s="33"/>
      <c r="K52" s="231"/>
      <c r="M52" s="11"/>
      <c r="N52" s="11"/>
    </row>
    <row r="53" spans="1:14" s="13" customFormat="1">
      <c r="A53" s="38"/>
      <c r="B53" s="11"/>
      <c r="C53" s="11"/>
      <c r="D53" s="11"/>
      <c r="E53" s="11"/>
      <c r="F53" s="11"/>
      <c r="G53" s="11"/>
      <c r="H53" s="11"/>
      <c r="I53" s="11"/>
      <c r="J53" s="33"/>
      <c r="K53" s="231"/>
      <c r="M53" s="11"/>
      <c r="N53" s="11"/>
    </row>
    <row r="54" spans="1:14" s="13" customFormat="1">
      <c r="A54" s="38"/>
      <c r="B54" s="11"/>
      <c r="C54" s="11"/>
      <c r="D54" s="11"/>
      <c r="E54" s="11"/>
      <c r="F54" s="11"/>
      <c r="G54" s="11"/>
      <c r="H54" s="11"/>
      <c r="I54" s="11"/>
      <c r="J54" s="33"/>
      <c r="K54" s="231"/>
      <c r="M54" s="11"/>
      <c r="N54" s="11"/>
    </row>
    <row r="55" spans="1:14" s="13" customFormat="1">
      <c r="A55" s="38"/>
      <c r="B55" s="11"/>
      <c r="C55" s="11"/>
      <c r="D55" s="11"/>
      <c r="E55" s="11"/>
      <c r="F55" s="11"/>
      <c r="G55" s="11"/>
      <c r="H55" s="11"/>
      <c r="I55" s="11"/>
      <c r="J55" s="33"/>
      <c r="K55" s="231"/>
      <c r="M55" s="11"/>
      <c r="N55" s="11"/>
    </row>
    <row r="56" spans="1:14" s="13" customFormat="1">
      <c r="A56" s="38"/>
      <c r="B56" s="11"/>
      <c r="C56" s="11"/>
      <c r="D56" s="11"/>
      <c r="E56" s="11"/>
      <c r="F56" s="11"/>
      <c r="G56" s="11"/>
      <c r="H56" s="11"/>
      <c r="I56" s="11"/>
      <c r="J56" s="33"/>
      <c r="K56" s="231"/>
      <c r="M56" s="11"/>
      <c r="N56" s="11"/>
    </row>
    <row r="57" spans="1:14" s="13" customFormat="1">
      <c r="A57" s="38"/>
      <c r="B57" s="11"/>
      <c r="C57" s="11"/>
      <c r="D57" s="11"/>
      <c r="E57" s="11"/>
      <c r="F57" s="11"/>
      <c r="G57" s="11"/>
      <c r="H57" s="11"/>
      <c r="I57" s="11"/>
      <c r="J57" s="33"/>
      <c r="K57" s="231"/>
      <c r="M57" s="11"/>
      <c r="N57" s="11"/>
    </row>
    <row r="58" spans="1:14" s="13" customFormat="1">
      <c r="A58" s="38"/>
      <c r="B58" s="11"/>
      <c r="C58" s="11"/>
      <c r="D58" s="11"/>
      <c r="E58" s="11"/>
      <c r="F58" s="11"/>
      <c r="G58" s="11"/>
      <c r="H58" s="11"/>
      <c r="I58" s="11"/>
      <c r="J58" s="33"/>
      <c r="K58" s="231"/>
      <c r="M58" s="11"/>
      <c r="N58" s="11"/>
    </row>
    <row r="59" spans="1:14" s="13" customFormat="1">
      <c r="A59" s="38"/>
      <c r="B59" s="11"/>
      <c r="C59" s="11"/>
      <c r="D59" s="11"/>
      <c r="E59" s="11"/>
      <c r="F59" s="11"/>
      <c r="G59" s="11"/>
      <c r="H59" s="11"/>
      <c r="I59" s="11"/>
      <c r="J59" s="33"/>
      <c r="K59" s="231"/>
      <c r="M59" s="11"/>
      <c r="N59" s="11"/>
    </row>
    <row r="60" spans="1:14" s="13" customFormat="1">
      <c r="A60" s="38"/>
      <c r="B60" s="11"/>
      <c r="C60" s="11"/>
      <c r="D60" s="11"/>
      <c r="E60" s="11"/>
      <c r="F60" s="11"/>
      <c r="G60" s="11"/>
      <c r="H60" s="11"/>
      <c r="I60" s="11"/>
      <c r="J60" s="33"/>
      <c r="K60" s="231"/>
      <c r="M60" s="11"/>
      <c r="N60" s="11"/>
    </row>
    <row r="61" spans="1:14" s="13" customFormat="1">
      <c r="A61" s="38"/>
      <c r="B61" s="11"/>
      <c r="C61" s="11"/>
      <c r="D61" s="11"/>
      <c r="E61" s="11"/>
      <c r="F61" s="11"/>
      <c r="G61" s="11"/>
      <c r="H61" s="11"/>
      <c r="I61" s="11"/>
      <c r="J61" s="33"/>
      <c r="K61" s="231"/>
      <c r="M61" s="11"/>
      <c r="N61" s="11"/>
    </row>
    <row r="62" spans="1:14" s="13" customFormat="1">
      <c r="A62" s="38"/>
      <c r="B62" s="11"/>
      <c r="C62" s="11"/>
      <c r="D62" s="11"/>
      <c r="E62" s="11"/>
      <c r="F62" s="11"/>
      <c r="G62" s="11"/>
      <c r="H62" s="11"/>
      <c r="I62" s="11"/>
      <c r="J62" s="33"/>
      <c r="K62" s="231"/>
      <c r="M62" s="11"/>
      <c r="N62" s="11"/>
    </row>
    <row r="63" spans="1:14" s="13" customFormat="1">
      <c r="A63" s="38"/>
      <c r="B63" s="11"/>
      <c r="C63" s="11"/>
      <c r="D63" s="11"/>
      <c r="E63" s="11"/>
      <c r="F63" s="11"/>
      <c r="G63" s="11"/>
      <c r="H63" s="11"/>
      <c r="I63" s="11"/>
      <c r="J63" s="33"/>
      <c r="K63" s="231"/>
      <c r="M63" s="11"/>
      <c r="N63" s="11"/>
    </row>
    <row r="64" spans="1:14" s="13" customFormat="1">
      <c r="A64" s="38"/>
      <c r="B64" s="11"/>
      <c r="C64" s="11"/>
      <c r="D64" s="11"/>
      <c r="E64" s="11"/>
      <c r="F64" s="11"/>
      <c r="G64" s="11"/>
      <c r="H64" s="11"/>
      <c r="I64" s="11"/>
      <c r="J64" s="33"/>
      <c r="K64" s="231"/>
      <c r="M64" s="11"/>
      <c r="N64" s="11"/>
    </row>
    <row r="65" spans="1:14" s="13" customFormat="1">
      <c r="A65" s="38"/>
      <c r="B65" s="11"/>
      <c r="C65" s="11"/>
      <c r="D65" s="11"/>
      <c r="E65" s="11"/>
      <c r="F65" s="11"/>
      <c r="G65" s="11"/>
      <c r="H65" s="11"/>
      <c r="I65" s="11"/>
      <c r="J65" s="33"/>
      <c r="K65" s="231"/>
      <c r="M65" s="11"/>
      <c r="N65" s="11"/>
    </row>
    <row r="66" spans="1:14" s="13" customFormat="1">
      <c r="A66" s="38"/>
      <c r="B66" s="11"/>
      <c r="C66" s="11"/>
      <c r="D66" s="11"/>
      <c r="E66" s="11"/>
      <c r="F66" s="11"/>
      <c r="G66" s="11"/>
      <c r="H66" s="11"/>
      <c r="I66" s="11"/>
      <c r="J66" s="33"/>
      <c r="K66" s="231"/>
      <c r="M66" s="11"/>
      <c r="N66" s="11"/>
    </row>
    <row r="67" spans="1:14" s="13" customFormat="1">
      <c r="A67" s="38"/>
      <c r="B67" s="11"/>
      <c r="C67" s="11"/>
      <c r="D67" s="11"/>
      <c r="E67" s="11"/>
      <c r="F67" s="11"/>
      <c r="G67" s="11"/>
      <c r="H67" s="11"/>
      <c r="I67" s="11"/>
      <c r="J67" s="33"/>
      <c r="K67" s="231"/>
      <c r="M67" s="11"/>
      <c r="N67" s="11"/>
    </row>
    <row r="68" spans="1:14" s="13" customFormat="1">
      <c r="A68" s="38"/>
      <c r="B68" s="11"/>
      <c r="C68" s="11"/>
      <c r="D68" s="11"/>
      <c r="E68" s="11"/>
      <c r="F68" s="11"/>
      <c r="G68" s="11"/>
      <c r="H68" s="11"/>
      <c r="I68" s="11"/>
      <c r="J68" s="33"/>
      <c r="K68" s="231"/>
      <c r="M68" s="11"/>
      <c r="N68" s="11"/>
    </row>
    <row r="69" spans="1:14" s="13" customFormat="1">
      <c r="A69" s="38" t="s">
        <v>88</v>
      </c>
      <c r="B69" s="11"/>
      <c r="C69" s="11"/>
      <c r="D69" s="11"/>
      <c r="E69" s="11"/>
      <c r="F69" s="11"/>
      <c r="G69" s="11"/>
      <c r="H69" s="11"/>
      <c r="I69" s="11"/>
      <c r="J69" s="33"/>
      <c r="K69" s="231"/>
      <c r="M69" s="11"/>
      <c r="N69" s="11"/>
    </row>
    <row r="70" spans="1:14" s="13" customFormat="1">
      <c r="A70" s="38"/>
      <c r="B70" s="11"/>
      <c r="C70" s="11"/>
      <c r="D70" s="11"/>
      <c r="E70" s="11"/>
      <c r="F70" s="11"/>
      <c r="G70" s="11"/>
      <c r="H70" s="11"/>
      <c r="I70" s="11"/>
      <c r="J70" s="33"/>
      <c r="K70" s="231"/>
      <c r="M70" s="11"/>
      <c r="N70" s="11"/>
    </row>
    <row r="71" spans="1:14" s="13" customFormat="1">
      <c r="A71" s="38"/>
      <c r="B71" s="11"/>
      <c r="C71" s="11"/>
      <c r="D71" s="11"/>
      <c r="E71" s="11"/>
      <c r="F71" s="11"/>
      <c r="G71" s="11"/>
      <c r="H71" s="11"/>
      <c r="I71" s="11"/>
      <c r="J71" s="33"/>
      <c r="K71" s="231"/>
      <c r="M71" s="11"/>
      <c r="N71" s="11"/>
    </row>
    <row r="72" spans="1:14" s="13" customFormat="1">
      <c r="A72" s="38"/>
      <c r="B72" s="11"/>
      <c r="C72" s="11"/>
      <c r="D72" s="11"/>
      <c r="E72" s="11"/>
      <c r="F72" s="11"/>
      <c r="G72" s="11"/>
      <c r="H72" s="11"/>
      <c r="I72" s="11"/>
      <c r="J72" s="33"/>
      <c r="K72" s="231"/>
      <c r="M72" s="11"/>
      <c r="N72" s="11"/>
    </row>
    <row r="73" spans="1:14" s="13" customFormat="1">
      <c r="A73" s="11" t="s">
        <v>89</v>
      </c>
      <c r="B73" s="11"/>
      <c r="C73" s="11"/>
      <c r="D73" s="11"/>
      <c r="E73" s="11"/>
      <c r="F73" s="11"/>
      <c r="G73" s="11"/>
      <c r="H73" s="11"/>
      <c r="I73" s="11"/>
      <c r="J73" s="33"/>
      <c r="K73" s="231"/>
      <c r="M73" s="11"/>
      <c r="N73" s="11"/>
    </row>
    <row r="74" spans="1:14" s="13" customFormat="1">
      <c r="A74" s="11" t="s">
        <v>90</v>
      </c>
      <c r="B74" s="11"/>
      <c r="C74" s="11"/>
      <c r="D74" s="11"/>
      <c r="E74" s="11"/>
      <c r="F74" s="11"/>
      <c r="G74" s="11"/>
      <c r="H74" s="11"/>
      <c r="I74" s="11"/>
      <c r="J74" s="33"/>
      <c r="K74" s="231"/>
      <c r="M74" s="11"/>
      <c r="N74" s="11"/>
    </row>
    <row r="75" spans="1:14" s="13" customFormat="1">
      <c r="A75" s="11" t="s">
        <v>91</v>
      </c>
      <c r="B75" s="11"/>
      <c r="C75" s="11"/>
      <c r="D75" s="11"/>
      <c r="E75" s="11"/>
      <c r="F75" s="11"/>
      <c r="G75" s="11"/>
      <c r="H75" s="11"/>
      <c r="I75" s="11"/>
      <c r="J75" s="33"/>
      <c r="K75" s="231"/>
      <c r="M75" s="11"/>
      <c r="N75" s="11"/>
    </row>
    <row r="76" spans="1:14" s="13" customFormat="1">
      <c r="A76" s="11" t="s">
        <v>92</v>
      </c>
      <c r="B76" s="11"/>
      <c r="C76" s="11"/>
      <c r="D76" s="11"/>
      <c r="E76" s="11"/>
      <c r="F76" s="11"/>
      <c r="G76" s="11"/>
      <c r="H76" s="11"/>
      <c r="I76" s="11"/>
      <c r="J76" s="33"/>
      <c r="K76" s="231"/>
      <c r="M76" s="11"/>
      <c r="N76" s="11"/>
    </row>
    <row r="77" spans="1:14" s="13" customFormat="1">
      <c r="A77" s="11" t="s">
        <v>134</v>
      </c>
      <c r="B77" s="11"/>
      <c r="C77" s="11"/>
      <c r="D77" s="11"/>
      <c r="E77" s="11"/>
      <c r="F77" s="11"/>
      <c r="G77" s="11"/>
      <c r="H77" s="11"/>
      <c r="I77" s="11"/>
      <c r="J77" s="33"/>
      <c r="K77" s="231"/>
      <c r="M77" s="11"/>
      <c r="N77" s="11"/>
    </row>
    <row r="78" spans="1:14" s="13" customFormat="1">
      <c r="A78" s="11" t="s">
        <v>135</v>
      </c>
      <c r="B78" s="11"/>
      <c r="C78" s="11"/>
      <c r="D78" s="11"/>
      <c r="E78" s="11"/>
      <c r="F78" s="11"/>
      <c r="G78" s="11"/>
      <c r="H78" s="11"/>
      <c r="I78" s="11"/>
      <c r="J78" s="33"/>
      <c r="K78" s="231"/>
      <c r="M78" s="11"/>
      <c r="N78" s="11"/>
    </row>
    <row r="79" spans="1:14" s="13" customFormat="1">
      <c r="A79" s="11" t="s">
        <v>136</v>
      </c>
      <c r="B79" s="11"/>
      <c r="C79" s="11"/>
      <c r="D79" s="11"/>
      <c r="E79" s="11"/>
      <c r="F79" s="11"/>
      <c r="G79" s="11"/>
      <c r="H79" s="11"/>
      <c r="I79" s="11"/>
      <c r="J79" s="33"/>
      <c r="K79" s="231"/>
      <c r="M79" s="11"/>
      <c r="N79" s="11"/>
    </row>
    <row r="80" spans="1:14" s="13" customFormat="1">
      <c r="A80" s="11" t="s">
        <v>137</v>
      </c>
      <c r="B80" s="11"/>
      <c r="C80" s="11"/>
      <c r="D80" s="11"/>
      <c r="E80" s="11"/>
      <c r="F80" s="11"/>
      <c r="G80" s="11"/>
      <c r="H80" s="11"/>
      <c r="I80" s="11"/>
      <c r="J80" s="33"/>
      <c r="K80" s="231"/>
      <c r="M80" s="11"/>
      <c r="N80" s="11"/>
    </row>
    <row r="81" spans="1:14" s="13" customFormat="1">
      <c r="A81" s="11" t="s">
        <v>138</v>
      </c>
      <c r="B81" s="11"/>
      <c r="C81" s="11"/>
      <c r="D81" s="11"/>
      <c r="E81" s="11"/>
      <c r="F81" s="11"/>
      <c r="G81" s="11"/>
      <c r="H81" s="11"/>
      <c r="I81" s="11"/>
      <c r="J81" s="33"/>
      <c r="K81" s="231"/>
      <c r="M81" s="11"/>
      <c r="N81" s="11"/>
    </row>
    <row r="82" spans="1:14" s="13" customFormat="1">
      <c r="A82" s="11" t="s">
        <v>139</v>
      </c>
      <c r="B82" s="11"/>
      <c r="C82" s="11"/>
      <c r="D82" s="11"/>
      <c r="E82" s="11"/>
      <c r="F82" s="11"/>
      <c r="G82" s="11"/>
      <c r="H82" s="11"/>
      <c r="I82" s="11"/>
      <c r="J82" s="11"/>
      <c r="K82" s="194"/>
      <c r="M82" s="11"/>
      <c r="N82" s="11"/>
    </row>
    <row r="83" spans="1:14" s="13" customFormat="1">
      <c r="A83" s="11" t="s">
        <v>140</v>
      </c>
      <c r="B83" s="11"/>
      <c r="C83" s="11"/>
      <c r="D83" s="11"/>
      <c r="E83" s="11"/>
      <c r="F83" s="11"/>
      <c r="G83" s="11"/>
      <c r="H83" s="11"/>
      <c r="I83" s="11"/>
      <c r="J83" s="11"/>
      <c r="K83" s="194"/>
      <c r="M83" s="11"/>
      <c r="N83" s="11"/>
    </row>
    <row r="84" spans="1:14">
      <c r="A84" s="11" t="s">
        <v>141</v>
      </c>
    </row>
    <row r="86" spans="1:14" customFormat="1" ht="12.75">
      <c r="A86" s="49"/>
      <c r="K86" s="525"/>
    </row>
    <row r="87" spans="1:14" customFormat="1" ht="18" customHeight="1">
      <c r="A87" s="49"/>
      <c r="K87" s="525"/>
    </row>
    <row r="88" spans="1:14" customFormat="1" ht="12.75">
      <c r="K88" s="525"/>
      <c r="N88" t="s">
        <v>72</v>
      </c>
    </row>
  </sheetData>
  <mergeCells count="21">
    <mergeCell ref="I32:J32"/>
    <mergeCell ref="B33:H33"/>
    <mergeCell ref="B36:H36"/>
    <mergeCell ref="I36:J36"/>
    <mergeCell ref="A2:J2"/>
    <mergeCell ref="A3:J3"/>
    <mergeCell ref="A4:J4"/>
    <mergeCell ref="A5:J5"/>
    <mergeCell ref="A7:A10"/>
    <mergeCell ref="I33:J33"/>
    <mergeCell ref="I34:J34"/>
    <mergeCell ref="B35:H35"/>
    <mergeCell ref="I35:J35"/>
    <mergeCell ref="B40:H40"/>
    <mergeCell ref="I40:J40"/>
    <mergeCell ref="B37:H37"/>
    <mergeCell ref="I37:J37"/>
    <mergeCell ref="B38:H38"/>
    <mergeCell ref="I38:J38"/>
    <mergeCell ref="B39:H39"/>
    <mergeCell ref="I39:J39"/>
  </mergeCells>
  <pageMargins left="0.11811023622047245" right="0.11811023622047245" top="0.74803149606299213" bottom="0.74803149606299213" header="0.31496062992125984" footer="0.31496062992125984"/>
  <pageSetup scale="90" orientation="portrait" horizontalDpi="4294967293" verticalDpi="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J29"/>
  <sheetViews>
    <sheetView workbookViewId="0">
      <selection activeCell="H17" sqref="H17"/>
    </sheetView>
  </sheetViews>
  <sheetFormatPr baseColWidth="10" defaultRowHeight="12.75"/>
  <cols>
    <col min="1" max="1" width="18.42578125" style="49" customWidth="1"/>
    <col min="2" max="2" width="24.28515625" customWidth="1"/>
    <col min="3" max="3" width="16.28515625" customWidth="1"/>
    <col min="4" max="4" width="16.7109375" customWidth="1"/>
    <col min="5" max="5" width="16.140625" customWidth="1"/>
    <col min="6" max="6" width="20.140625" customWidth="1"/>
    <col min="7" max="7" width="20.7109375" customWidth="1"/>
    <col min="8" max="8" width="24.140625" customWidth="1"/>
    <col min="9" max="9" width="17.28515625" bestFit="1" customWidth="1"/>
    <col min="10" max="10" width="16" customWidth="1"/>
  </cols>
  <sheetData>
    <row r="1" spans="1:10" ht="15.75">
      <c r="A1" s="142"/>
      <c r="F1" s="59">
        <v>12</v>
      </c>
    </row>
    <row r="2" spans="1:10">
      <c r="A2" s="1025" t="s">
        <v>199</v>
      </c>
      <c r="B2" s="1025"/>
      <c r="C2" s="1025"/>
      <c r="D2" s="1025"/>
      <c r="E2" s="1025"/>
      <c r="F2" s="1025"/>
    </row>
    <row r="3" spans="1:10">
      <c r="A3" s="1025" t="s">
        <v>1350</v>
      </c>
      <c r="B3" s="1025"/>
      <c r="C3" s="1025"/>
      <c r="D3" s="1025"/>
      <c r="E3" s="1025"/>
      <c r="F3" s="1025"/>
    </row>
    <row r="4" spans="1:10">
      <c r="A4" s="1025" t="s">
        <v>165</v>
      </c>
      <c r="B4" s="1025"/>
      <c r="C4" s="1025"/>
      <c r="D4" s="1025"/>
      <c r="E4" s="1025"/>
      <c r="F4" s="1025"/>
    </row>
    <row r="5" spans="1:10">
      <c r="A5" s="1025" t="s">
        <v>166</v>
      </c>
      <c r="B5" s="1025"/>
      <c r="C5" s="1025"/>
      <c r="D5" s="1025"/>
      <c r="E5" s="1025"/>
      <c r="F5" s="1025"/>
    </row>
    <row r="6" spans="1:10" ht="13.5" thickBot="1">
      <c r="A6" s="38"/>
      <c r="I6" s="855"/>
      <c r="J6" s="856"/>
    </row>
    <row r="7" spans="1:10" ht="18.75" thickBot="1">
      <c r="A7" s="121"/>
      <c r="B7" s="122"/>
      <c r="C7" s="1110" t="s">
        <v>167</v>
      </c>
      <c r="D7" s="1110"/>
      <c r="E7" s="122"/>
      <c r="F7" s="123"/>
      <c r="I7" s="855">
        <v>80586626.170000002</v>
      </c>
      <c r="J7" s="856">
        <f>15000000+16986254.92</f>
        <v>31986254.920000002</v>
      </c>
    </row>
    <row r="8" spans="1:10">
      <c r="A8" s="124" t="s">
        <v>168</v>
      </c>
      <c r="B8" s="125"/>
      <c r="C8" s="8"/>
      <c r="D8" s="125"/>
      <c r="E8" s="126"/>
      <c r="F8" s="127" t="s">
        <v>169</v>
      </c>
      <c r="I8">
        <v>100</v>
      </c>
      <c r="J8" s="538">
        <f>+J7*I8/I7</f>
        <v>39.691765793152818</v>
      </c>
    </row>
    <row r="9" spans="1:10" ht="13.5" thickBot="1">
      <c r="A9" s="128" t="s">
        <v>170</v>
      </c>
      <c r="B9" s="129" t="s">
        <v>171</v>
      </c>
      <c r="C9" s="130" t="s">
        <v>207</v>
      </c>
      <c r="D9" s="131" t="s">
        <v>208</v>
      </c>
      <c r="E9" s="129" t="s">
        <v>24</v>
      </c>
      <c r="F9" s="130" t="s">
        <v>172</v>
      </c>
    </row>
    <row r="10" spans="1:10" ht="12" customHeight="1" thickBot="1">
      <c r="A10" s="132"/>
      <c r="B10" s="133"/>
      <c r="C10" s="134"/>
      <c r="D10" s="195"/>
      <c r="E10" s="135"/>
      <c r="F10" s="159"/>
      <c r="H10" s="244">
        <v>10272522.539999999</v>
      </c>
    </row>
    <row r="11" spans="1:10" ht="39" customHeight="1" thickBot="1">
      <c r="A11" s="132" t="s">
        <v>1122</v>
      </c>
      <c r="B11" s="134" t="s">
        <v>1324</v>
      </c>
      <c r="C11" s="134">
        <f>+H11*40%</f>
        <v>1379966.36</v>
      </c>
      <c r="D11" s="136">
        <f>+H10*40%</f>
        <v>4109009.0159999998</v>
      </c>
      <c r="E11" s="135">
        <f>+C11+D11</f>
        <v>5488975.3760000002</v>
      </c>
      <c r="F11" s="782" t="s">
        <v>1288</v>
      </c>
      <c r="G11" s="2"/>
      <c r="H11" s="244">
        <v>3449915.9</v>
      </c>
      <c r="I11" s="2"/>
    </row>
    <row r="12" spans="1:10" ht="39" customHeight="1" thickBot="1">
      <c r="A12" s="132" t="s">
        <v>1122</v>
      </c>
      <c r="B12" s="134" t="s">
        <v>1325</v>
      </c>
      <c r="C12" s="134">
        <f>+H11*60%</f>
        <v>2069949.5399999998</v>
      </c>
      <c r="D12" s="136">
        <f>+H10*60%</f>
        <v>6163513.5239999993</v>
      </c>
      <c r="E12" s="135">
        <f>+C12+D12</f>
        <v>8233463.0639999993</v>
      </c>
      <c r="F12" s="782" t="s">
        <v>1328</v>
      </c>
      <c r="G12" s="2"/>
      <c r="H12" s="2">
        <f>+H10+H11</f>
        <v>13722438.439999999</v>
      </c>
      <c r="I12" s="2"/>
    </row>
    <row r="13" spans="1:10" ht="44.25" customHeight="1" thickBot="1">
      <c r="A13" s="132" t="s">
        <v>1122</v>
      </c>
      <c r="B13" s="821" t="s">
        <v>1326</v>
      </c>
      <c r="C13" s="373">
        <v>28973967.510000002</v>
      </c>
      <c r="D13" s="136">
        <v>94201402.430000007</v>
      </c>
      <c r="E13" s="135">
        <f>+C13+D13</f>
        <v>123175369.94000001</v>
      </c>
      <c r="F13" s="782" t="s">
        <v>1327</v>
      </c>
      <c r="G13" s="2"/>
      <c r="H13" s="2">
        <f>+E11+E12</f>
        <v>13722438.439999999</v>
      </c>
      <c r="I13" s="2"/>
    </row>
    <row r="14" spans="1:10" ht="13.5" thickBot="1">
      <c r="A14" s="137" t="s">
        <v>173</v>
      </c>
      <c r="B14" s="138"/>
      <c r="C14" s="139">
        <f>SUM(C11:C13)</f>
        <v>32423883.41</v>
      </c>
      <c r="D14" s="139">
        <f t="shared" ref="D14:E14" si="0">SUM(D11:D13)</f>
        <v>104473924.97</v>
      </c>
      <c r="E14" s="139">
        <f t="shared" si="0"/>
        <v>136897808.38000003</v>
      </c>
      <c r="F14" s="159"/>
    </row>
    <row r="15" spans="1:10" ht="13.5" thickBot="1">
      <c r="A15" s="8"/>
      <c r="B15" s="8"/>
      <c r="C15" s="8"/>
      <c r="D15" s="8"/>
      <c r="E15" s="8"/>
      <c r="F15" s="8"/>
    </row>
    <row r="16" spans="1:10" ht="13.5" thickBot="1">
      <c r="A16" s="140" t="s">
        <v>209</v>
      </c>
      <c r="B16" s="141"/>
      <c r="C16" s="196">
        <f>+'Distribucion Programas I'!C182+'Distribucion Programas II '!D183+'Distribucion Programas III UTGV'!C182</f>
        <v>32423883.41</v>
      </c>
      <c r="D16" s="197">
        <f>+'Distribucion Programas I'!C336+'Distribucion Programas II '!D337+'Distribucion Programas III UTGV'!C336</f>
        <v>104473924.97</v>
      </c>
      <c r="E16" s="198">
        <f>+D16+C16</f>
        <v>136897808.38</v>
      </c>
      <c r="F16" s="55"/>
    </row>
    <row r="17" spans="1:6" ht="13.5" thickBot="1">
      <c r="A17" s="8"/>
      <c r="B17" s="8"/>
      <c r="C17" s="8"/>
      <c r="D17" s="8"/>
      <c r="E17" s="8"/>
      <c r="F17" s="8"/>
    </row>
    <row r="18" spans="1:6" ht="13.5" thickBot="1">
      <c r="A18" s="140" t="s">
        <v>174</v>
      </c>
      <c r="B18" s="141"/>
      <c r="C18" s="857">
        <f>+C14-C16</f>
        <v>0</v>
      </c>
      <c r="D18" s="858">
        <f>+D14-D16</f>
        <v>0</v>
      </c>
      <c r="E18" s="859">
        <f>+E14-E16</f>
        <v>0</v>
      </c>
      <c r="F18" s="55"/>
    </row>
    <row r="19" spans="1:6">
      <c r="A19" s="38"/>
    </row>
    <row r="20" spans="1:6">
      <c r="A20" s="38"/>
    </row>
    <row r="21" spans="1:6">
      <c r="A21" s="38"/>
    </row>
    <row r="22" spans="1:6">
      <c r="A22" s="38"/>
    </row>
    <row r="23" spans="1:6">
      <c r="A23" s="38"/>
    </row>
    <row r="24" spans="1:6">
      <c r="A24" s="38"/>
    </row>
    <row r="25" spans="1:6">
      <c r="A25" s="55" t="s">
        <v>1361</v>
      </c>
    </row>
    <row r="26" spans="1:6">
      <c r="A26" s="55"/>
    </row>
    <row r="27" spans="1:6">
      <c r="A27" s="55" t="s">
        <v>1362</v>
      </c>
    </row>
    <row r="28" spans="1:6">
      <c r="A28" s="8"/>
    </row>
    <row r="29" spans="1:6">
      <c r="A29" s="158"/>
    </row>
  </sheetData>
  <mergeCells count="5">
    <mergeCell ref="C7:D7"/>
    <mergeCell ref="A5:F5"/>
    <mergeCell ref="A2:F2"/>
    <mergeCell ref="A3:F3"/>
    <mergeCell ref="A4:F4"/>
  </mergeCells>
  <phoneticPr fontId="3" type="noConversion"/>
  <pageMargins left="0.39370078740157483" right="0.39370078740157483" top="0.98425196850393704" bottom="0.98425196850393704" header="0" footer="0"/>
  <pageSetup scale="90" orientation="portrait" horizontalDpi="4294967294" verticalDpi="144" r:id="rId1"/>
  <headerFooter alignWithMargins="0">
    <oddFooter>&amp;L&amp;8&amp;Z&amp;F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K40"/>
  <sheetViews>
    <sheetView workbookViewId="0">
      <pane ySplit="9" topLeftCell="A10" activePane="bottomLeft" state="frozen"/>
      <selection pane="bottomLeft" activeCell="C35" sqref="C35"/>
    </sheetView>
  </sheetViews>
  <sheetFormatPr baseColWidth="10" defaultRowHeight="12.75"/>
  <cols>
    <col min="1" max="1" width="12.85546875" style="175" customWidth="1"/>
    <col min="2" max="2" width="35" style="56" customWidth="1"/>
    <col min="3" max="3" width="16.5703125" style="299" customWidth="1"/>
    <col min="4" max="4" width="14.5703125" style="56" customWidth="1"/>
    <col min="5" max="5" width="15.28515625" style="56" bestFit="1" customWidth="1"/>
    <col min="6" max="6" width="16.140625" style="56" customWidth="1"/>
    <col min="7" max="7" width="17.140625" customWidth="1"/>
    <col min="8" max="8" width="14.42578125" customWidth="1"/>
    <col min="10" max="10" width="13.85546875" bestFit="1" customWidth="1"/>
    <col min="11" max="11" width="12.85546875" bestFit="1" customWidth="1"/>
  </cols>
  <sheetData>
    <row r="1" spans="1:11">
      <c r="A1" s="170"/>
      <c r="B1"/>
      <c r="C1" s="291"/>
      <c r="D1"/>
      <c r="E1"/>
      <c r="F1" s="59"/>
    </row>
    <row r="2" spans="1:11">
      <c r="A2" s="1025" t="s">
        <v>199</v>
      </c>
      <c r="B2" s="1025"/>
      <c r="C2" s="1025"/>
      <c r="D2" s="1025"/>
      <c r="E2" s="1025"/>
      <c r="F2" s="1025"/>
    </row>
    <row r="3" spans="1:11">
      <c r="A3" s="1025" t="s">
        <v>1350</v>
      </c>
      <c r="B3" s="1025"/>
      <c r="C3" s="1025"/>
      <c r="D3" s="1025"/>
      <c r="E3" s="1025"/>
      <c r="F3" s="1025"/>
    </row>
    <row r="4" spans="1:11">
      <c r="A4" s="1111" t="s">
        <v>1317</v>
      </c>
      <c r="B4" s="1111"/>
      <c r="C4" s="1111"/>
      <c r="D4" s="1111"/>
      <c r="E4" s="1111"/>
      <c r="F4" s="1111"/>
    </row>
    <row r="5" spans="1:11">
      <c r="A5" s="1025" t="s">
        <v>175</v>
      </c>
      <c r="B5" s="1025"/>
      <c r="C5" s="1025"/>
      <c r="D5" s="1025"/>
      <c r="E5" s="1025"/>
      <c r="F5" s="1025"/>
    </row>
    <row r="6" spans="1:11">
      <c r="A6" s="1025"/>
      <c r="B6" s="1025"/>
      <c r="C6" s="1025"/>
      <c r="D6" s="1025"/>
      <c r="E6" s="1025"/>
      <c r="F6" s="1025"/>
    </row>
    <row r="7" spans="1:11">
      <c r="A7" s="171"/>
      <c r="B7"/>
      <c r="C7" s="291"/>
      <c r="D7"/>
      <c r="E7"/>
      <c r="F7"/>
    </row>
    <row r="8" spans="1:11" ht="13.5" thickBot="1">
      <c r="A8" s="171"/>
      <c r="B8"/>
      <c r="C8" s="291"/>
      <c r="D8"/>
      <c r="E8"/>
      <c r="F8"/>
    </row>
    <row r="9" spans="1:11" ht="39.75" customHeight="1" thickBot="1">
      <c r="A9" s="176" t="s">
        <v>214</v>
      </c>
      <c r="B9" s="160" t="s">
        <v>215</v>
      </c>
      <c r="C9" s="161" t="s">
        <v>176</v>
      </c>
      <c r="D9" s="162" t="s">
        <v>177</v>
      </c>
      <c r="E9" s="161" t="s">
        <v>1022</v>
      </c>
      <c r="F9" s="303" t="s">
        <v>216</v>
      </c>
    </row>
    <row r="10" spans="1:11" ht="13.5" thickBot="1">
      <c r="A10" s="172">
        <v>6</v>
      </c>
      <c r="B10" s="163" t="s">
        <v>4</v>
      </c>
      <c r="C10" s="295"/>
      <c r="D10" s="163"/>
      <c r="E10" s="164">
        <f>+E11</f>
        <v>80614498.115374997</v>
      </c>
      <c r="F10" s="300"/>
    </row>
    <row r="11" spans="1:11" ht="26.25" thickBot="1">
      <c r="A11" s="173" t="s">
        <v>274</v>
      </c>
      <c r="B11" s="165" t="s">
        <v>401</v>
      </c>
      <c r="C11" s="296"/>
      <c r="D11" s="165"/>
      <c r="E11" s="206">
        <f>SUM(E12:E23)</f>
        <v>80614498.115374997</v>
      </c>
      <c r="F11" s="301"/>
      <c r="G11" s="244"/>
    </row>
    <row r="12" spans="1:11" ht="21.75" customHeight="1" thickBot="1">
      <c r="A12" s="208" t="s">
        <v>402</v>
      </c>
      <c r="B12" s="207" t="s">
        <v>403</v>
      </c>
      <c r="C12" s="296"/>
      <c r="D12" s="165"/>
      <c r="E12" s="209">
        <f>+'Ingreso Contraloría'!C11*0.5%</f>
        <v>1840000</v>
      </c>
      <c r="F12" s="301"/>
    </row>
    <row r="13" spans="1:11" ht="26.25" thickBot="1">
      <c r="A13" s="173" t="s">
        <v>152</v>
      </c>
      <c r="B13" s="165" t="s">
        <v>160</v>
      </c>
      <c r="C13" s="296"/>
      <c r="D13" s="165"/>
      <c r="E13" s="209"/>
      <c r="F13" s="301"/>
    </row>
    <row r="14" spans="1:11" ht="26.25" thickBot="1">
      <c r="A14" s="208" t="s">
        <v>404</v>
      </c>
      <c r="B14" s="207" t="s">
        <v>407</v>
      </c>
      <c r="C14" s="296"/>
      <c r="D14" s="165"/>
      <c r="E14" s="209">
        <f>+'Ingreso Contraloría'!C11*1.5%</f>
        <v>5520000</v>
      </c>
      <c r="F14" s="301"/>
      <c r="H14" s="244"/>
      <c r="J14" s="776">
        <f>+E16+E15</f>
        <v>1460000</v>
      </c>
      <c r="K14" s="538">
        <f>+J14+J17</f>
        <v>2000000</v>
      </c>
    </row>
    <row r="15" spans="1:11" ht="13.5" thickBot="1">
      <c r="A15" s="208" t="s">
        <v>405</v>
      </c>
      <c r="B15" s="207" t="s">
        <v>408</v>
      </c>
      <c r="C15" s="296"/>
      <c r="D15" s="165"/>
      <c r="E15" s="209">
        <f>+'Ingreso Interno'!C40*10%</f>
        <v>200000</v>
      </c>
      <c r="F15" s="301"/>
      <c r="G15" s="244">
        <f>+'Ingreso Interno'!C40</f>
        <v>2000000</v>
      </c>
      <c r="H15" s="244">
        <f>+G15*90%</f>
        <v>1800000</v>
      </c>
      <c r="J15" s="776">
        <f>+G15*90%</f>
        <v>1800000</v>
      </c>
    </row>
    <row r="16" spans="1:11" ht="13.5" thickBot="1">
      <c r="A16" s="208" t="s">
        <v>406</v>
      </c>
      <c r="B16" s="207" t="s">
        <v>655</v>
      </c>
      <c r="C16" s="296"/>
      <c r="D16" s="165"/>
      <c r="E16" s="209">
        <f>+J16</f>
        <v>1260000</v>
      </c>
      <c r="F16" s="301"/>
      <c r="H16" s="244"/>
      <c r="J16" s="776">
        <f>+J15*70%</f>
        <v>1260000</v>
      </c>
    </row>
    <row r="17" spans="1:10" ht="39" customHeight="1" thickBot="1">
      <c r="A17" s="173" t="s">
        <v>153</v>
      </c>
      <c r="B17" s="165" t="s">
        <v>159</v>
      </c>
      <c r="C17" s="296"/>
      <c r="D17" s="165"/>
      <c r="E17" s="209"/>
      <c r="F17" s="301"/>
      <c r="H17" s="244">
        <f>+E16+E15</f>
        <v>1460000</v>
      </c>
      <c r="J17" s="776">
        <f>+J15*30%</f>
        <v>540000</v>
      </c>
    </row>
    <row r="18" spans="1:10" ht="51.75" thickBot="1">
      <c r="A18" s="208" t="s">
        <v>409</v>
      </c>
      <c r="B18" s="207" t="s">
        <v>410</v>
      </c>
      <c r="C18" s="261" t="s">
        <v>373</v>
      </c>
      <c r="D18" s="165"/>
      <c r="E18" s="209">
        <f>+'Ingreso Interno'!C12*10%</f>
        <v>36800000</v>
      </c>
      <c r="F18" s="301" t="s">
        <v>389</v>
      </c>
      <c r="H18" s="244">
        <f>+G15-H17</f>
        <v>540000</v>
      </c>
      <c r="J18" s="855">
        <f>+E15+E16+J17</f>
        <v>2000000</v>
      </c>
    </row>
    <row r="19" spans="1:10" ht="26.25" thickBot="1">
      <c r="A19" s="208" t="s">
        <v>411</v>
      </c>
      <c r="B19" s="207" t="s">
        <v>1150</v>
      </c>
      <c r="C19" s="296"/>
      <c r="D19" s="165"/>
      <c r="E19" s="209">
        <f>+('Ingreso Interno'!C109-'Ingreso Interno'!C102)*0.5%</f>
        <v>4665933.0820500003</v>
      </c>
      <c r="F19" s="301" t="s">
        <v>180</v>
      </c>
      <c r="G19" s="776"/>
      <c r="J19" s="855">
        <f>+J18*10%</f>
        <v>200000</v>
      </c>
    </row>
    <row r="20" spans="1:10" ht="26.25" thickBot="1">
      <c r="A20" s="173" t="s">
        <v>154</v>
      </c>
      <c r="B20" s="165" t="s">
        <v>158</v>
      </c>
      <c r="C20" s="296"/>
      <c r="D20" s="165"/>
      <c r="E20" s="209"/>
      <c r="F20" s="301"/>
      <c r="G20" s="776"/>
      <c r="J20" s="855">
        <f>+J18-J19</f>
        <v>1800000</v>
      </c>
    </row>
    <row r="21" spans="1:10" ht="13.5" thickBot="1">
      <c r="A21" s="208" t="s">
        <v>412</v>
      </c>
      <c r="B21" s="207" t="s">
        <v>414</v>
      </c>
      <c r="C21" s="261" t="s">
        <v>377</v>
      </c>
      <c r="D21" s="165"/>
      <c r="E21" s="209">
        <f>+E19/2</f>
        <v>2332966.5410250002</v>
      </c>
      <c r="F21" s="301" t="s">
        <v>179</v>
      </c>
      <c r="G21" s="776"/>
      <c r="J21" s="855">
        <f>+J20*70%</f>
        <v>1260000</v>
      </c>
    </row>
    <row r="22" spans="1:10" ht="51.75" thickBot="1">
      <c r="A22" s="208" t="s">
        <v>415</v>
      </c>
      <c r="B22" s="167" t="s">
        <v>417</v>
      </c>
      <c r="C22" s="294" t="s">
        <v>378</v>
      </c>
      <c r="D22" s="167"/>
      <c r="E22" s="209">
        <f>(+'Ingreso Interno'!C109-'Ingreso Interno'!C102)*3%</f>
        <v>27995598.4923</v>
      </c>
      <c r="F22" s="302" t="s">
        <v>379</v>
      </c>
      <c r="J22" s="855">
        <f>+J20-J21</f>
        <v>540000</v>
      </c>
    </row>
    <row r="23" spans="1:10" ht="26.25" thickBot="1">
      <c r="A23" s="208" t="s">
        <v>416</v>
      </c>
      <c r="B23" s="167" t="s">
        <v>418</v>
      </c>
      <c r="C23" s="294"/>
      <c r="D23" s="167"/>
      <c r="E23" s="209">
        <v>0</v>
      </c>
      <c r="F23" s="302" t="s">
        <v>548</v>
      </c>
    </row>
    <row r="24" spans="1:10" ht="13.5" thickBot="1">
      <c r="A24" s="173">
        <v>6.03</v>
      </c>
      <c r="B24" s="168" t="s">
        <v>279</v>
      </c>
      <c r="C24" s="294"/>
      <c r="D24" s="167"/>
      <c r="E24" s="210"/>
      <c r="F24" s="302"/>
      <c r="H24" s="776"/>
    </row>
    <row r="25" spans="1:10" ht="13.5" thickBot="1">
      <c r="A25" s="208" t="s">
        <v>155</v>
      </c>
      <c r="B25" s="167" t="s">
        <v>371</v>
      </c>
      <c r="C25" s="294"/>
      <c r="D25" s="167"/>
      <c r="E25" s="792">
        <f>1229807.2+36895</f>
        <v>1266702.2</v>
      </c>
      <c r="F25" s="302"/>
      <c r="G25" s="538"/>
      <c r="H25" s="776"/>
    </row>
    <row r="26" spans="1:10" ht="13.5" thickBot="1">
      <c r="A26" s="208" t="s">
        <v>156</v>
      </c>
      <c r="B26" s="167" t="s">
        <v>372</v>
      </c>
      <c r="C26" s="294"/>
      <c r="D26" s="167"/>
      <c r="E26" s="210">
        <f>+E25/12</f>
        <v>105558.51666666666</v>
      </c>
      <c r="F26" s="302"/>
      <c r="H26" s="776"/>
    </row>
    <row r="27" spans="1:10" ht="13.5" thickBot="1">
      <c r="A27" s="208" t="s">
        <v>157</v>
      </c>
      <c r="B27" s="167" t="s">
        <v>388</v>
      </c>
      <c r="C27" s="294"/>
      <c r="D27" s="167"/>
      <c r="E27" s="210">
        <f>+E25*4.5%</f>
        <v>57001.598999999995</v>
      </c>
      <c r="F27" s="302"/>
    </row>
    <row r="28" spans="1:10" ht="13.5" thickBot="1">
      <c r="A28" s="208"/>
      <c r="B28" s="168"/>
      <c r="C28" s="297"/>
      <c r="D28" s="168"/>
      <c r="E28" s="166"/>
      <c r="F28" s="302"/>
    </row>
    <row r="29" spans="1:10" ht="16.5" thickBot="1">
      <c r="A29" s="174"/>
      <c r="B29" s="169" t="s">
        <v>24</v>
      </c>
      <c r="C29" s="298"/>
      <c r="D29" s="169"/>
      <c r="E29" s="211">
        <f>SUM(E12:E27)</f>
        <v>82043760.431041673</v>
      </c>
      <c r="F29" s="303"/>
      <c r="H29" s="538"/>
    </row>
    <row r="30" spans="1:10">
      <c r="A30" s="171"/>
      <c r="B30"/>
      <c r="C30" s="291"/>
      <c r="D30"/>
      <c r="E30" s="244"/>
      <c r="F30"/>
    </row>
    <row r="31" spans="1:10">
      <c r="A31" s="171"/>
      <c r="B31"/>
      <c r="C31" s="291"/>
      <c r="D31"/>
      <c r="E31" s="244"/>
      <c r="F31"/>
    </row>
    <row r="32" spans="1:10">
      <c r="A32" s="171"/>
      <c r="B32"/>
      <c r="C32" s="291"/>
      <c r="D32" s="238"/>
      <c r="E32" s="238"/>
      <c r="F32"/>
    </row>
    <row r="33" spans="1:6">
      <c r="A33" s="54" t="s">
        <v>1482</v>
      </c>
      <c r="B33"/>
      <c r="C33" s="291"/>
      <c r="D33"/>
      <c r="E33" s="238"/>
      <c r="F33"/>
    </row>
    <row r="34" spans="1:6">
      <c r="A34" s="54"/>
      <c r="B34"/>
      <c r="C34" s="291"/>
      <c r="D34"/>
      <c r="E34" s="238"/>
      <c r="F34"/>
    </row>
    <row r="35" spans="1:6">
      <c r="A35" s="408"/>
      <c r="B35"/>
      <c r="C35" s="291"/>
      <c r="D35"/>
      <c r="E35"/>
      <c r="F35"/>
    </row>
    <row r="36" spans="1:6">
      <c r="A36" s="170"/>
      <c r="B36" s="2"/>
      <c r="C36" s="291"/>
      <c r="D36"/>
      <c r="E36" s="2"/>
      <c r="F36"/>
    </row>
    <row r="37" spans="1:6">
      <c r="A37" s="170"/>
      <c r="B37" s="2"/>
      <c r="C37" s="357"/>
      <c r="D37" s="2"/>
      <c r="E37" s="2"/>
      <c r="F37" s="2"/>
    </row>
    <row r="38" spans="1:6">
      <c r="A38" s="54"/>
      <c r="B38" s="2"/>
      <c r="C38" s="291"/>
      <c r="D38" s="238"/>
      <c r="E38"/>
      <c r="F38" s="238"/>
    </row>
    <row r="39" spans="1:6">
      <c r="A39" s="170"/>
      <c r="B39" s="2"/>
      <c r="C39" s="291"/>
      <c r="D39"/>
      <c r="E39"/>
      <c r="F39"/>
    </row>
    <row r="40" spans="1:6">
      <c r="B40" s="525"/>
    </row>
  </sheetData>
  <mergeCells count="5">
    <mergeCell ref="A2:F2"/>
    <mergeCell ref="A3:F3"/>
    <mergeCell ref="A5:F5"/>
    <mergeCell ref="A6:F6"/>
    <mergeCell ref="A4:F4"/>
  </mergeCells>
  <phoneticPr fontId="3" type="noConversion"/>
  <pageMargins left="0.19685039370078741" right="0.19685039370078741" top="0.98425196850393704" bottom="0.98425196850393704" header="0" footer="0"/>
  <pageSetup scale="90" orientation="portrait" horizontalDpi="4294967294" verticalDpi="144" r:id="rId1"/>
  <headerFooter alignWithMargins="0">
    <oddFooter>&amp;L&amp;8&amp;Z&amp;F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3"/>
  <sheetViews>
    <sheetView workbookViewId="0">
      <selection activeCell="B9" sqref="B9"/>
    </sheetView>
  </sheetViews>
  <sheetFormatPr baseColWidth="10" defaultRowHeight="18"/>
  <cols>
    <col min="1" max="1" width="49.7109375" style="216" customWidth="1"/>
    <col min="2" max="2" width="24.28515625" style="219" customWidth="1"/>
    <col min="3" max="3" width="20.5703125" style="216" customWidth="1"/>
    <col min="4" max="4" width="12.140625" style="216" customWidth="1"/>
    <col min="5" max="5" width="12.28515625" style="216" customWidth="1"/>
    <col min="6" max="16384" width="11.42578125" style="216"/>
  </cols>
  <sheetData>
    <row r="1" spans="1:4" ht="23.25">
      <c r="A1" s="1112"/>
      <c r="B1" s="1112"/>
      <c r="C1" s="1112"/>
    </row>
    <row r="2" spans="1:4">
      <c r="A2" s="217"/>
      <c r="B2" s="217"/>
    </row>
    <row r="3" spans="1:4">
      <c r="A3" s="218" t="s">
        <v>420</v>
      </c>
    </row>
    <row r="4" spans="1:4">
      <c r="A4" s="218" t="s">
        <v>421</v>
      </c>
    </row>
    <row r="5" spans="1:4">
      <c r="A5" s="218"/>
    </row>
    <row r="6" spans="1:4" ht="18.75" thickBot="1">
      <c r="A6" s="218"/>
    </row>
    <row r="7" spans="1:4" ht="18.75" thickBot="1">
      <c r="A7" s="220" t="s">
        <v>422</v>
      </c>
      <c r="B7" s="221" t="s">
        <v>423</v>
      </c>
    </row>
    <row r="8" spans="1:4">
      <c r="A8" s="222"/>
      <c r="B8" s="223"/>
    </row>
    <row r="9" spans="1:4">
      <c r="A9" s="224" t="s">
        <v>424</v>
      </c>
      <c r="B9" s="225">
        <f>730000+730000</f>
        <v>1460000</v>
      </c>
      <c r="C9" s="226"/>
      <c r="D9" s="227"/>
    </row>
    <row r="10" spans="1:4">
      <c r="A10" s="224" t="s">
        <v>425</v>
      </c>
      <c r="B10" s="225">
        <v>350000</v>
      </c>
      <c r="C10" s="226"/>
    </row>
    <row r="11" spans="1:4">
      <c r="A11" s="224" t="s">
        <v>197</v>
      </c>
      <c r="B11" s="225">
        <v>100000</v>
      </c>
      <c r="C11" s="226"/>
    </row>
    <row r="12" spans="1:4">
      <c r="A12" s="224" t="s">
        <v>426</v>
      </c>
      <c r="B12" s="225">
        <v>400000</v>
      </c>
      <c r="C12" s="226"/>
    </row>
    <row r="13" spans="1:4">
      <c r="A13" s="224" t="s">
        <v>427</v>
      </c>
      <c r="B13" s="225">
        <v>70000</v>
      </c>
    </row>
    <row r="14" spans="1:4">
      <c r="A14" s="224" t="s">
        <v>347</v>
      </c>
      <c r="B14" s="225">
        <v>200000</v>
      </c>
    </row>
    <row r="15" spans="1:4">
      <c r="A15" s="224" t="s">
        <v>428</v>
      </c>
      <c r="B15" s="225">
        <f>+'Distribucion Programas I'!C59</f>
        <v>3050000</v>
      </c>
    </row>
    <row r="16" spans="1:4">
      <c r="A16" s="224" t="s">
        <v>429</v>
      </c>
      <c r="B16" s="225">
        <v>40000</v>
      </c>
    </row>
    <row r="17" spans="1:3">
      <c r="A17" s="224" t="s">
        <v>430</v>
      </c>
      <c r="B17" s="225">
        <v>70000</v>
      </c>
    </row>
    <row r="18" spans="1:3">
      <c r="C18" s="226"/>
    </row>
    <row r="19" spans="1:3">
      <c r="A19" s="218" t="s">
        <v>353</v>
      </c>
      <c r="B19" s="228">
        <f>SUM(B9:B17)</f>
        <v>5740000</v>
      </c>
      <c r="C19" s="219"/>
    </row>
    <row r="23" spans="1:3" ht="40.5" customHeight="1">
      <c r="A23" s="342" t="s">
        <v>132</v>
      </c>
    </row>
  </sheetData>
  <mergeCells count="1">
    <mergeCell ref="A1:C1"/>
  </mergeCells>
  <phoneticPr fontId="3" type="noConversion"/>
  <hyperlinks>
    <hyperlink ref="A23" r:id="rId1" xr:uid="{00000000-0004-0000-1600-000000000000}"/>
  </hyperlinks>
  <pageMargins left="0.75" right="0.75" top="1" bottom="1" header="0" footer="0"/>
  <pageSetup orientation="portrait" horizontalDpi="4294967294"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8"/>
  <sheetViews>
    <sheetView workbookViewId="0">
      <selection activeCell="C11" sqref="C11"/>
    </sheetView>
  </sheetViews>
  <sheetFormatPr baseColWidth="10" defaultRowHeight="12.75"/>
  <cols>
    <col min="1" max="1" width="12.85546875" style="175" customWidth="1"/>
    <col min="2" max="2" width="35" style="56" customWidth="1"/>
    <col min="3" max="3" width="16.5703125" style="299" customWidth="1"/>
    <col min="4" max="4" width="14.5703125" style="56" customWidth="1"/>
    <col min="5" max="5" width="14.85546875" style="56" bestFit="1" customWidth="1"/>
    <col min="6" max="6" width="16.140625" style="56" customWidth="1"/>
    <col min="7" max="7" width="13.140625" customWidth="1"/>
    <col min="8" max="8" width="14.42578125" customWidth="1"/>
  </cols>
  <sheetData>
    <row r="1" spans="1:7">
      <c r="A1" s="170"/>
      <c r="B1"/>
      <c r="C1" s="291"/>
      <c r="D1"/>
      <c r="E1"/>
      <c r="F1" s="59"/>
    </row>
    <row r="2" spans="1:7">
      <c r="A2" s="1025" t="s">
        <v>199</v>
      </c>
      <c r="B2" s="1025"/>
      <c r="C2" s="1025"/>
      <c r="D2" s="1025"/>
      <c r="E2" s="1025"/>
      <c r="F2" s="1025"/>
    </row>
    <row r="3" spans="1:7">
      <c r="A3" s="1025" t="s">
        <v>1221</v>
      </c>
      <c r="B3" s="1025"/>
      <c r="C3" s="1025"/>
      <c r="D3" s="1025"/>
      <c r="E3" s="1025"/>
      <c r="F3" s="1025"/>
    </row>
    <row r="4" spans="1:7">
      <c r="A4" s="54"/>
      <c r="B4"/>
      <c r="C4" s="291"/>
      <c r="D4"/>
      <c r="E4"/>
      <c r="F4"/>
    </row>
    <row r="5" spans="1:7">
      <c r="A5" s="1025" t="s">
        <v>1251</v>
      </c>
      <c r="B5" s="1025"/>
      <c r="C5" s="1025"/>
      <c r="D5" s="1025"/>
      <c r="E5" s="1025"/>
      <c r="F5" s="1025"/>
    </row>
    <row r="6" spans="1:7" ht="13.5" thickBot="1">
      <c r="A6" s="171"/>
      <c r="B6"/>
      <c r="C6" s="291"/>
      <c r="D6"/>
      <c r="E6"/>
      <c r="F6"/>
    </row>
    <row r="7" spans="1:7" ht="39.75" customHeight="1" thickBot="1">
      <c r="A7" s="176" t="s">
        <v>214</v>
      </c>
      <c r="B7" s="160" t="s">
        <v>215</v>
      </c>
      <c r="C7" s="161" t="s">
        <v>176</v>
      </c>
      <c r="D7" s="162" t="s">
        <v>177</v>
      </c>
      <c r="E7" s="161" t="s">
        <v>1022</v>
      </c>
      <c r="F7" s="177" t="s">
        <v>216</v>
      </c>
    </row>
    <row r="8" spans="1:7" ht="39.75" customHeight="1" thickBot="1">
      <c r="A8" s="208" t="s">
        <v>402</v>
      </c>
      <c r="B8" s="207" t="s">
        <v>403</v>
      </c>
      <c r="C8" s="296"/>
      <c r="D8" s="165"/>
      <c r="E8" s="209">
        <v>2500200</v>
      </c>
      <c r="F8" s="177"/>
    </row>
    <row r="9" spans="1:7" ht="26.25" thickBot="1">
      <c r="A9" s="208" t="s">
        <v>404</v>
      </c>
      <c r="B9" s="207" t="s">
        <v>407</v>
      </c>
      <c r="C9" s="296"/>
      <c r="D9" s="165"/>
      <c r="E9" s="209">
        <f>+'Ingreso Contraloría'!C11*3%</f>
        <v>11040000</v>
      </c>
      <c r="F9" s="301"/>
    </row>
    <row r="10" spans="1:7" ht="51.75" thickBot="1">
      <c r="A10" s="208" t="s">
        <v>409</v>
      </c>
      <c r="B10" s="207" t="s">
        <v>410</v>
      </c>
      <c r="C10" s="261" t="s">
        <v>373</v>
      </c>
      <c r="D10" s="165"/>
      <c r="E10" s="209">
        <f>+'Ingreso Interno'!C12*10%</f>
        <v>36800000</v>
      </c>
      <c r="F10" s="301" t="s">
        <v>389</v>
      </c>
    </row>
    <row r="11" spans="1:7" ht="26.25" thickBot="1">
      <c r="A11" s="208" t="s">
        <v>411</v>
      </c>
      <c r="B11" s="207" t="s">
        <v>1150</v>
      </c>
      <c r="C11" s="296"/>
      <c r="D11" s="165"/>
      <c r="E11" s="209">
        <f>+('Ingreso Contraloría'!C7-'Ingreso Interno'!C102-800000000)*0.5%</f>
        <v>665933.08205000043</v>
      </c>
      <c r="F11" s="301" t="s">
        <v>180</v>
      </c>
    </row>
    <row r="12" spans="1:7" ht="13.5" thickBot="1">
      <c r="A12" s="208" t="s">
        <v>412</v>
      </c>
      <c r="B12" s="207" t="s">
        <v>414</v>
      </c>
      <c r="C12" s="261" t="s">
        <v>377</v>
      </c>
      <c r="D12" s="165"/>
      <c r="E12" s="209">
        <f>+E11/2</f>
        <v>332966.54102500022</v>
      </c>
      <c r="F12" s="301" t="s">
        <v>179</v>
      </c>
    </row>
    <row r="13" spans="1:7" ht="51.75" thickBot="1">
      <c r="A13" s="208" t="s">
        <v>415</v>
      </c>
      <c r="B13" s="167" t="s">
        <v>417</v>
      </c>
      <c r="C13" s="294" t="s">
        <v>378</v>
      </c>
      <c r="D13" s="167"/>
      <c r="E13" s="209">
        <f>+('Ingreso Contraloría'!C7-'Ingreso Interno'!C102-800000000)*3%</f>
        <v>3995598.4923000024</v>
      </c>
      <c r="F13" s="302" t="s">
        <v>379</v>
      </c>
    </row>
    <row r="14" spans="1:7" ht="26.25" thickBot="1">
      <c r="A14" s="208" t="s">
        <v>416</v>
      </c>
      <c r="B14" s="167" t="s">
        <v>418</v>
      </c>
      <c r="C14" s="294"/>
      <c r="D14" s="167"/>
      <c r="E14" s="209">
        <f>+('Ingreso Contraloría'!C7-'Ingreso Interno'!C102-800000000)*0.5%</f>
        <v>665933.08205000043</v>
      </c>
      <c r="F14" s="302" t="s">
        <v>548</v>
      </c>
    </row>
    <row r="15" spans="1:7" ht="13.5" thickBot="1">
      <c r="A15" s="208" t="s">
        <v>155</v>
      </c>
      <c r="B15" s="167" t="s">
        <v>371</v>
      </c>
      <c r="C15" s="294"/>
      <c r="D15" s="167"/>
      <c r="E15" s="210">
        <v>1213325.3600000001</v>
      </c>
      <c r="F15" s="302"/>
      <c r="G15" s="538"/>
    </row>
    <row r="16" spans="1:7" ht="13.5" thickBot="1">
      <c r="A16" s="208"/>
      <c r="B16" s="168"/>
      <c r="C16" s="297"/>
      <c r="D16" s="168"/>
      <c r="E16" s="166"/>
      <c r="F16" s="302"/>
    </row>
    <row r="17" spans="1:6" ht="16.5" thickBot="1">
      <c r="A17" s="174"/>
      <c r="B17" s="169" t="s">
        <v>24</v>
      </c>
      <c r="C17" s="298"/>
      <c r="D17" s="169"/>
      <c r="E17" s="211">
        <f>SUM(E8:E15)</f>
        <v>57213956.557425007</v>
      </c>
      <c r="F17" s="303"/>
    </row>
    <row r="18" spans="1:6">
      <c r="A18" s="171"/>
      <c r="B18"/>
      <c r="C18" s="291"/>
      <c r="D18"/>
      <c r="E18" s="244"/>
      <c r="F18"/>
    </row>
    <row r="19" spans="1:6">
      <c r="A19" s="171"/>
      <c r="B19"/>
      <c r="C19" s="291"/>
      <c r="D19"/>
      <c r="E19" s="244"/>
      <c r="F19" s="238"/>
    </row>
    <row r="20" spans="1:6">
      <c r="A20" s="171"/>
      <c r="B20"/>
      <c r="C20" s="291"/>
      <c r="D20" s="238"/>
      <c r="E20" s="238"/>
      <c r="F20"/>
    </row>
    <row r="21" spans="1:6">
      <c r="A21" s="54" t="s">
        <v>130</v>
      </c>
      <c r="B21"/>
      <c r="C21" s="291"/>
      <c r="D21"/>
      <c r="E21" s="238"/>
      <c r="F21"/>
    </row>
    <row r="22" spans="1:6">
      <c r="A22" s="54"/>
      <c r="B22"/>
      <c r="C22" s="291"/>
      <c r="D22"/>
      <c r="E22" s="238"/>
      <c r="F22"/>
    </row>
    <row r="23" spans="1:6">
      <c r="A23" s="408"/>
      <c r="B23"/>
      <c r="C23" s="291"/>
      <c r="D23"/>
      <c r="E23"/>
      <c r="F23"/>
    </row>
    <row r="24" spans="1:6">
      <c r="A24" s="170"/>
      <c r="B24" s="2"/>
      <c r="C24" s="291"/>
      <c r="D24"/>
      <c r="E24" s="2"/>
      <c r="F24"/>
    </row>
    <row r="25" spans="1:6">
      <c r="A25" s="170"/>
      <c r="B25" s="2"/>
      <c r="C25" s="357"/>
      <c r="D25" s="2"/>
      <c r="E25" s="2"/>
      <c r="F25" s="2"/>
    </row>
    <row r="26" spans="1:6">
      <c r="A26" s="54"/>
      <c r="B26" s="2"/>
      <c r="C26" s="291"/>
      <c r="D26" s="238"/>
      <c r="E26"/>
      <c r="F26" s="238"/>
    </row>
    <row r="27" spans="1:6">
      <c r="A27" s="170"/>
      <c r="B27" s="2"/>
      <c r="C27" s="291"/>
      <c r="D27"/>
      <c r="E27"/>
      <c r="F27"/>
    </row>
    <row r="28" spans="1:6">
      <c r="B28" s="525"/>
    </row>
  </sheetData>
  <mergeCells count="3">
    <mergeCell ref="A2:F2"/>
    <mergeCell ref="A3:F3"/>
    <mergeCell ref="A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99"/>
  <sheetViews>
    <sheetView tabSelected="1" zoomScaleNormal="100" workbookViewId="0">
      <selection activeCell="K13" sqref="K13:L19"/>
    </sheetView>
  </sheetViews>
  <sheetFormatPr baseColWidth="10" defaultRowHeight="15" customHeight="1"/>
  <cols>
    <col min="1" max="1" width="17.42578125" style="59" customWidth="1"/>
    <col min="2" max="2" width="54.7109375" style="59" customWidth="1"/>
    <col min="3" max="3" width="15.140625" style="680" customWidth="1"/>
    <col min="4" max="4" width="11.85546875" style="60" customWidth="1"/>
    <col min="5" max="5" width="15.140625" style="59" customWidth="1"/>
    <col min="6" max="6" width="17.5703125" style="60" customWidth="1"/>
    <col min="7" max="7" width="16.140625" style="60" customWidth="1"/>
    <col min="8" max="8" width="16.42578125" style="60" customWidth="1"/>
    <col min="9" max="9" width="15" style="59" customWidth="1"/>
    <col min="10" max="10" width="11.42578125" style="60"/>
    <col min="11" max="11" width="20.140625" style="60" customWidth="1"/>
    <col min="12" max="12" width="11.42578125" style="60"/>
    <col min="13" max="16384" width="11.42578125" style="59"/>
  </cols>
  <sheetData>
    <row r="1" spans="1:11" ht="17.25" customHeight="1">
      <c r="A1" s="1003" t="s">
        <v>23</v>
      </c>
      <c r="B1" s="1003"/>
      <c r="C1" s="1003"/>
      <c r="D1" s="1003"/>
    </row>
    <row r="2" spans="1:11" ht="16.5" customHeight="1">
      <c r="A2" s="1003" t="s">
        <v>1351</v>
      </c>
      <c r="B2" s="1003"/>
      <c r="C2" s="1003"/>
      <c r="D2" s="1003"/>
    </row>
    <row r="3" spans="1:11" ht="9.75" customHeight="1">
      <c r="A3" s="1003"/>
      <c r="B3" s="1003"/>
      <c r="C3" s="1003"/>
    </row>
    <row r="4" spans="1:11" ht="15" customHeight="1">
      <c r="A4" s="1003" t="s">
        <v>182</v>
      </c>
      <c r="B4" s="1003"/>
      <c r="C4" s="1003"/>
      <c r="D4" s="1003"/>
    </row>
    <row r="5" spans="1:11" ht="12" customHeight="1"/>
    <row r="6" spans="1:11" ht="16.5" customHeight="1">
      <c r="A6" s="58" t="s">
        <v>1020</v>
      </c>
      <c r="B6" s="58" t="s">
        <v>60</v>
      </c>
      <c r="C6" s="681" t="s">
        <v>1022</v>
      </c>
      <c r="D6" s="90" t="s">
        <v>181</v>
      </c>
      <c r="E6" s="680"/>
      <c r="F6" s="680"/>
      <c r="G6" s="680"/>
      <c r="H6" s="680"/>
      <c r="I6" s="868"/>
      <c r="J6" s="680"/>
    </row>
    <row r="7" spans="1:11" ht="20.25" customHeight="1">
      <c r="A7" s="61"/>
      <c r="B7" s="81" t="s">
        <v>183</v>
      </c>
      <c r="C7" s="682">
        <f>+C8+C84+C89</f>
        <v>3001086291.3400002</v>
      </c>
      <c r="D7" s="82">
        <f>+D11+D12+D13+D21+D25+D28+D31+D36+D38+D41+D42+D46+D51+D65+D70+D74+D77++D81+D82+D87+D88+D92+D90+D43</f>
        <v>100</v>
      </c>
      <c r="E7" s="680"/>
      <c r="F7" s="680"/>
      <c r="G7" s="680"/>
      <c r="H7" s="680"/>
      <c r="I7" s="868"/>
      <c r="J7" s="680"/>
    </row>
    <row r="8" spans="1:11" ht="15" customHeight="1">
      <c r="A8" s="81" t="s">
        <v>907</v>
      </c>
      <c r="B8" s="81" t="s">
        <v>920</v>
      </c>
      <c r="C8" s="682">
        <f>+C9+C32+C80</f>
        <v>905856106.34000003</v>
      </c>
      <c r="D8" s="62"/>
      <c r="E8" s="680"/>
      <c r="F8" s="680"/>
      <c r="G8" s="680"/>
      <c r="H8" s="680"/>
      <c r="I8" s="868"/>
      <c r="J8" s="680"/>
    </row>
    <row r="9" spans="1:11" ht="15" customHeight="1">
      <c r="A9" s="81" t="s">
        <v>910</v>
      </c>
      <c r="B9" s="81" t="s">
        <v>919</v>
      </c>
      <c r="C9" s="682">
        <f>+C10+C15+C30</f>
        <v>524427000</v>
      </c>
      <c r="D9" s="62"/>
      <c r="E9" s="680"/>
      <c r="F9" s="680"/>
      <c r="G9" s="680"/>
      <c r="H9" s="680"/>
      <c r="I9" s="680"/>
      <c r="J9" s="680"/>
    </row>
    <row r="10" spans="1:11" ht="15" customHeight="1">
      <c r="A10" s="81" t="s">
        <v>911</v>
      </c>
      <c r="B10" s="81" t="s">
        <v>921</v>
      </c>
      <c r="C10" s="682">
        <f>+C11+C12+C13</f>
        <v>385020000</v>
      </c>
      <c r="D10" s="62"/>
      <c r="E10" s="680"/>
      <c r="F10" s="680"/>
      <c r="G10" s="680"/>
      <c r="H10" s="680"/>
      <c r="I10" s="680"/>
      <c r="J10" s="680"/>
      <c r="K10" s="60">
        <f>+K5+K7</f>
        <v>0</v>
      </c>
    </row>
    <row r="11" spans="1:11" ht="15" customHeight="1">
      <c r="A11" s="61" t="s">
        <v>912</v>
      </c>
      <c r="B11" s="61" t="s">
        <v>922</v>
      </c>
      <c r="C11" s="529">
        <f>+'Ingreso Interno'!C11</f>
        <v>368000000</v>
      </c>
      <c r="D11" s="62">
        <f>+C11*100/$C$7</f>
        <v>12.262226549829933</v>
      </c>
      <c r="E11" s="680"/>
      <c r="F11" s="680"/>
      <c r="G11" s="680"/>
      <c r="H11" s="680"/>
      <c r="I11" s="680"/>
      <c r="J11" s="680"/>
    </row>
    <row r="12" spans="1:11" ht="15" customHeight="1">
      <c r="A12" s="69" t="s">
        <v>954</v>
      </c>
      <c r="B12" s="69" t="s">
        <v>955</v>
      </c>
      <c r="C12" s="529">
        <f>+'Ingreso Interno'!C14</f>
        <v>17000000</v>
      </c>
      <c r="D12" s="62">
        <f>+C12*100/$C$7</f>
        <v>0.56646155257366537</v>
      </c>
      <c r="E12" s="680"/>
      <c r="F12" s="680"/>
      <c r="G12" s="680"/>
      <c r="H12" s="680"/>
      <c r="I12" s="680"/>
      <c r="J12" s="680"/>
    </row>
    <row r="13" spans="1:11" ht="14.25" customHeight="1">
      <c r="A13" s="73" t="s">
        <v>913</v>
      </c>
      <c r="B13" s="69" t="s">
        <v>657</v>
      </c>
      <c r="C13" s="529">
        <v>20000</v>
      </c>
      <c r="D13" s="62">
        <f>+C13*100/$C$7</f>
        <v>6.6642535596901815E-4</v>
      </c>
      <c r="E13" s="680"/>
      <c r="F13" s="680"/>
      <c r="G13" s="680"/>
      <c r="H13" s="680"/>
      <c r="I13" s="680"/>
      <c r="J13" s="680"/>
    </row>
    <row r="14" spans="1:11" ht="12" customHeight="1">
      <c r="A14" s="74"/>
      <c r="B14" s="75"/>
      <c r="C14" s="529"/>
      <c r="D14" s="72"/>
      <c r="E14" s="869"/>
      <c r="F14" s="680"/>
      <c r="G14" s="680"/>
      <c r="H14" s="680"/>
      <c r="I14" s="680"/>
      <c r="J14" s="680"/>
    </row>
    <row r="15" spans="1:11" ht="15" customHeight="1">
      <c r="A15" s="81" t="s">
        <v>914</v>
      </c>
      <c r="B15" s="81" t="s">
        <v>924</v>
      </c>
      <c r="C15" s="682">
        <f>+C16+C27</f>
        <v>137407000</v>
      </c>
      <c r="D15" s="72"/>
      <c r="E15" s="869"/>
      <c r="F15" s="680"/>
      <c r="G15" s="680"/>
      <c r="H15" s="680"/>
      <c r="I15" s="680"/>
      <c r="J15" s="680"/>
    </row>
    <row r="16" spans="1:11" ht="15" customHeight="1">
      <c r="A16" s="81" t="s">
        <v>915</v>
      </c>
      <c r="B16" s="81" t="s">
        <v>925</v>
      </c>
      <c r="C16" s="682">
        <f>+C18+C23</f>
        <v>12162000</v>
      </c>
      <c r="D16" s="62"/>
      <c r="E16" s="869"/>
      <c r="F16" s="680"/>
      <c r="G16" s="680"/>
      <c r="H16" s="680"/>
      <c r="I16" s="680"/>
      <c r="J16" s="680"/>
    </row>
    <row r="17" spans="1:10" ht="15" customHeight="1">
      <c r="A17" s="81"/>
      <c r="B17" s="81" t="s">
        <v>928</v>
      </c>
      <c r="C17" s="682"/>
      <c r="D17" s="62"/>
      <c r="E17" s="868"/>
      <c r="F17" s="680"/>
      <c r="G17" s="680"/>
      <c r="H17" s="680"/>
      <c r="I17" s="680"/>
      <c r="J17" s="680"/>
    </row>
    <row r="18" spans="1:10" ht="15" customHeight="1">
      <c r="A18" s="81" t="s">
        <v>916</v>
      </c>
      <c r="B18" s="81" t="s">
        <v>926</v>
      </c>
      <c r="C18" s="682">
        <f>+C20</f>
        <v>12000000</v>
      </c>
      <c r="D18" s="62"/>
      <c r="E18" s="868"/>
      <c r="F18" s="680"/>
      <c r="G18" s="680"/>
      <c r="H18" s="680"/>
      <c r="I18" s="680"/>
      <c r="J18" s="680"/>
    </row>
    <row r="19" spans="1:10" ht="15" customHeight="1">
      <c r="A19" s="63" t="s">
        <v>917</v>
      </c>
      <c r="B19" s="81" t="s">
        <v>929</v>
      </c>
      <c r="C19" s="682"/>
      <c r="D19" s="62"/>
      <c r="E19" s="868"/>
      <c r="F19" s="680"/>
      <c r="G19" s="680"/>
      <c r="H19" s="680"/>
      <c r="I19" s="680"/>
      <c r="J19" s="680"/>
    </row>
    <row r="20" spans="1:10" ht="15" customHeight="1">
      <c r="A20" s="69" t="s">
        <v>918</v>
      </c>
      <c r="B20" s="69" t="s">
        <v>927</v>
      </c>
      <c r="C20" s="564">
        <f>+C21</f>
        <v>12000000</v>
      </c>
      <c r="D20" s="62"/>
      <c r="E20" s="869"/>
      <c r="F20" s="680"/>
      <c r="G20" s="680"/>
      <c r="H20" s="680"/>
      <c r="I20" s="680"/>
      <c r="J20" s="680"/>
    </row>
    <row r="21" spans="1:10" ht="15" customHeight="1">
      <c r="A21" s="76" t="s">
        <v>25</v>
      </c>
      <c r="B21" s="69" t="s">
        <v>26</v>
      </c>
      <c r="C21" s="529">
        <f>+'Ingreso Interno'!C24</f>
        <v>12000000</v>
      </c>
      <c r="D21" s="62">
        <f>+C21*100/$C$7</f>
        <v>0.39985521358141085</v>
      </c>
      <c r="E21" s="868"/>
      <c r="F21" s="870"/>
      <c r="G21" s="870"/>
      <c r="H21" s="680"/>
      <c r="I21" s="680"/>
      <c r="J21" s="680"/>
    </row>
    <row r="22" spans="1:10" ht="12" customHeight="1">
      <c r="A22" s="78"/>
      <c r="B22" s="80"/>
      <c r="C22" s="530"/>
      <c r="D22" s="72"/>
      <c r="E22" s="868"/>
      <c r="F22" s="680"/>
      <c r="G22" s="680"/>
      <c r="H22" s="680"/>
      <c r="I22" s="680"/>
      <c r="J22" s="680"/>
    </row>
    <row r="23" spans="1:10" ht="15" customHeight="1">
      <c r="A23" s="81" t="s">
        <v>934</v>
      </c>
      <c r="B23" s="81" t="s">
        <v>936</v>
      </c>
      <c r="C23" s="682">
        <f>+C25</f>
        <v>162000</v>
      </c>
      <c r="D23" s="72"/>
      <c r="E23" s="868"/>
      <c r="F23" s="680"/>
      <c r="G23" s="680"/>
      <c r="H23" s="680"/>
      <c r="I23" s="680"/>
      <c r="J23" s="680"/>
    </row>
    <row r="24" spans="1:10" ht="15" customHeight="1">
      <c r="A24" s="85" t="s">
        <v>917</v>
      </c>
      <c r="B24" s="85" t="s">
        <v>939</v>
      </c>
      <c r="C24" s="683"/>
      <c r="D24" s="70"/>
      <c r="E24" s="868"/>
      <c r="F24" s="680"/>
      <c r="G24" s="680"/>
      <c r="H24" s="680"/>
      <c r="I24" s="680"/>
      <c r="J24" s="680"/>
    </row>
    <row r="25" spans="1:10" ht="15" customHeight="1">
      <c r="A25" s="65" t="s">
        <v>935</v>
      </c>
      <c r="B25" s="69" t="s">
        <v>184</v>
      </c>
      <c r="C25" s="529">
        <f>+'Ingreso Interno'!C27</f>
        <v>162000</v>
      </c>
      <c r="D25" s="62">
        <f>+C25*100/$C$7</f>
        <v>5.3980453833490467E-3</v>
      </c>
      <c r="E25" s="868"/>
      <c r="F25" s="680"/>
      <c r="G25" s="680"/>
      <c r="H25" s="680"/>
      <c r="I25" s="680"/>
      <c r="J25" s="680"/>
    </row>
    <row r="26" spans="1:10" ht="12" customHeight="1">
      <c r="A26" s="66"/>
      <c r="B26" s="80"/>
      <c r="C26" s="530"/>
      <c r="D26" s="72"/>
      <c r="E26" s="868"/>
      <c r="F26" s="680"/>
      <c r="G26" s="680"/>
      <c r="H26" s="680"/>
      <c r="I26" s="680"/>
      <c r="J26" s="680"/>
    </row>
    <row r="27" spans="1:10" ht="15" customHeight="1">
      <c r="A27" s="89" t="s">
        <v>950</v>
      </c>
      <c r="B27" s="89" t="s">
        <v>952</v>
      </c>
      <c r="C27" s="684">
        <f>+C28</f>
        <v>125245000</v>
      </c>
      <c r="D27" s="277"/>
      <c r="E27" s="868"/>
      <c r="F27" s="680"/>
      <c r="G27" s="680"/>
      <c r="H27" s="680"/>
      <c r="I27" s="680"/>
      <c r="J27" s="680"/>
    </row>
    <row r="28" spans="1:10" ht="15" customHeight="1">
      <c r="A28" s="65" t="s">
        <v>951</v>
      </c>
      <c r="B28" s="69" t="s">
        <v>953</v>
      </c>
      <c r="C28" s="529">
        <f>+'Ingreso Interno'!C32</f>
        <v>125245000</v>
      </c>
      <c r="D28" s="62">
        <f>+C28*100/$C$7</f>
        <v>4.1733221854169837</v>
      </c>
      <c r="E28" s="868"/>
      <c r="F28" s="680"/>
      <c r="G28" s="680"/>
      <c r="H28" s="680"/>
      <c r="I28" s="680"/>
      <c r="J28" s="680"/>
    </row>
    <row r="29" spans="1:10" ht="12" customHeight="1">
      <c r="A29" s="66"/>
      <c r="B29" s="80"/>
      <c r="C29" s="530"/>
      <c r="D29" s="72"/>
      <c r="E29" s="868"/>
      <c r="F29" s="680"/>
      <c r="G29" s="680"/>
      <c r="H29" s="680"/>
      <c r="I29" s="680"/>
      <c r="J29" s="680"/>
    </row>
    <row r="30" spans="1:10" ht="15" customHeight="1">
      <c r="A30" s="86" t="s">
        <v>958</v>
      </c>
      <c r="B30" s="86" t="s">
        <v>960</v>
      </c>
      <c r="C30" s="685">
        <f>+C31</f>
        <v>2000000</v>
      </c>
      <c r="D30" s="72"/>
      <c r="E30" s="868"/>
      <c r="F30" s="680"/>
      <c r="G30" s="680"/>
      <c r="H30" s="680"/>
      <c r="I30" s="680"/>
      <c r="J30" s="680"/>
    </row>
    <row r="31" spans="1:10" ht="15" customHeight="1">
      <c r="A31" s="81" t="s">
        <v>959</v>
      </c>
      <c r="B31" s="81" t="s">
        <v>961</v>
      </c>
      <c r="C31" s="682">
        <f>+'Ingreso Interno'!C39</f>
        <v>2000000</v>
      </c>
      <c r="D31" s="62">
        <f>+C31*100/$C$7</f>
        <v>6.6642535596901809E-2</v>
      </c>
      <c r="E31" s="868"/>
      <c r="F31" s="680"/>
      <c r="G31" s="680"/>
      <c r="H31" s="680"/>
      <c r="I31" s="680"/>
      <c r="J31" s="680"/>
    </row>
    <row r="32" spans="1:10" ht="15" customHeight="1">
      <c r="A32" s="81" t="s">
        <v>964</v>
      </c>
      <c r="B32" s="81" t="s">
        <v>968</v>
      </c>
      <c r="C32" s="682">
        <f>+C33+C67+C73+C76</f>
        <v>365920000</v>
      </c>
      <c r="D32" s="62"/>
      <c r="E32" s="868"/>
      <c r="F32" s="680"/>
      <c r="G32" s="680"/>
      <c r="H32" s="680"/>
      <c r="I32" s="680"/>
      <c r="J32" s="680"/>
    </row>
    <row r="33" spans="1:10" ht="15" customHeight="1">
      <c r="A33" s="81" t="s">
        <v>965</v>
      </c>
      <c r="B33" s="81" t="s">
        <v>969</v>
      </c>
      <c r="C33" s="682">
        <f>+C34+C48</f>
        <v>300647000</v>
      </c>
      <c r="D33" s="62"/>
      <c r="E33" s="868"/>
      <c r="F33" s="680"/>
      <c r="G33" s="680"/>
      <c r="H33" s="680"/>
      <c r="I33" s="680"/>
      <c r="J33" s="680"/>
    </row>
    <row r="34" spans="1:10" ht="15" customHeight="1">
      <c r="A34" s="81" t="s">
        <v>966</v>
      </c>
      <c r="B34" s="81" t="s">
        <v>970</v>
      </c>
      <c r="C34" s="682">
        <f>+C35+C38+C40+C45</f>
        <v>297247000</v>
      </c>
      <c r="D34" s="62"/>
      <c r="E34" s="868"/>
      <c r="F34" s="680"/>
      <c r="G34" s="680"/>
      <c r="H34" s="680"/>
      <c r="I34" s="680"/>
      <c r="J34" s="680"/>
    </row>
    <row r="35" spans="1:10" ht="15" customHeight="1">
      <c r="A35" s="81" t="s">
        <v>967</v>
      </c>
      <c r="B35" s="81" t="s">
        <v>971</v>
      </c>
      <c r="C35" s="682">
        <f>+C36</f>
        <v>4750000</v>
      </c>
      <c r="D35" s="70"/>
      <c r="E35" s="868"/>
      <c r="F35" s="680"/>
      <c r="G35" s="680"/>
      <c r="H35" s="680"/>
      <c r="I35" s="680"/>
      <c r="J35" s="680"/>
    </row>
    <row r="36" spans="1:10" ht="15" customHeight="1">
      <c r="A36" s="65" t="s">
        <v>985</v>
      </c>
      <c r="B36" s="69" t="s">
        <v>986</v>
      </c>
      <c r="C36" s="529">
        <f>+'Ingreso Interno'!C45</f>
        <v>4750000</v>
      </c>
      <c r="D36" s="62">
        <f>+C36*100/$C$7</f>
        <v>0.1582760220426418</v>
      </c>
      <c r="E36" s="868"/>
      <c r="F36" s="680"/>
      <c r="G36" s="680"/>
      <c r="H36" s="680"/>
      <c r="I36" s="680"/>
      <c r="J36" s="680"/>
    </row>
    <row r="37" spans="1:10" ht="12" customHeight="1">
      <c r="A37" s="87"/>
      <c r="B37" s="88"/>
      <c r="C37" s="528"/>
      <c r="D37" s="277"/>
      <c r="E37" s="868"/>
      <c r="F37" s="680"/>
      <c r="G37" s="680"/>
      <c r="H37" s="680"/>
      <c r="I37" s="680"/>
      <c r="J37" s="680"/>
    </row>
    <row r="38" spans="1:10" ht="15" customHeight="1">
      <c r="A38" s="91" t="s">
        <v>975</v>
      </c>
      <c r="B38" s="85" t="s">
        <v>973</v>
      </c>
      <c r="C38" s="686">
        <f>+'Ingreso Interno'!C49</f>
        <v>6300000</v>
      </c>
      <c r="D38" s="62">
        <f>+C38*100/$C$7</f>
        <v>0.20992398713024071</v>
      </c>
      <c r="E38" s="868"/>
      <c r="F38" s="680"/>
      <c r="G38" s="680"/>
      <c r="H38" s="680"/>
      <c r="I38" s="680"/>
      <c r="J38" s="680"/>
    </row>
    <row r="39" spans="1:10" ht="12" customHeight="1">
      <c r="A39" s="66"/>
      <c r="B39" s="80"/>
      <c r="C39" s="530"/>
      <c r="D39" s="72"/>
      <c r="E39" s="868"/>
      <c r="F39" s="680"/>
      <c r="G39" s="680"/>
      <c r="H39" s="680"/>
      <c r="I39" s="680"/>
      <c r="J39" s="680"/>
    </row>
    <row r="40" spans="1:10" ht="15" customHeight="1">
      <c r="A40" s="86" t="s">
        <v>34</v>
      </c>
      <c r="B40" s="86" t="s">
        <v>35</v>
      </c>
      <c r="C40" s="685">
        <f>+C41+C42+C43</f>
        <v>282464000</v>
      </c>
      <c r="D40" s="72"/>
      <c r="E40" s="868"/>
      <c r="F40" s="680"/>
      <c r="G40" s="680"/>
      <c r="H40" s="680"/>
      <c r="I40" s="680"/>
      <c r="J40" s="680"/>
    </row>
    <row r="41" spans="1:10" ht="15" customHeight="1">
      <c r="A41" s="69" t="s">
        <v>983</v>
      </c>
      <c r="B41" s="69" t="s">
        <v>984</v>
      </c>
      <c r="C41" s="564">
        <f>+'Ingreso Interno'!C65</f>
        <v>2000</v>
      </c>
      <c r="D41" s="62">
        <f>+C41*100/$C$7</f>
        <v>6.6642535596901807E-5</v>
      </c>
      <c r="E41" s="868"/>
      <c r="F41" s="680"/>
      <c r="G41" s="680"/>
      <c r="H41" s="680"/>
      <c r="I41" s="680"/>
      <c r="J41" s="680"/>
    </row>
    <row r="42" spans="1:10" ht="15" customHeight="1">
      <c r="A42" s="65" t="s">
        <v>981</v>
      </c>
      <c r="B42" s="69" t="s">
        <v>978</v>
      </c>
      <c r="C42" s="529">
        <f>+'Ingreso Interno'!C67</f>
        <v>139262000</v>
      </c>
      <c r="D42" s="62">
        <f>+C42*100/$C$7</f>
        <v>4.6403863961478704</v>
      </c>
      <c r="E42" s="868"/>
      <c r="F42" s="680"/>
      <c r="G42" s="680"/>
      <c r="H42" s="680"/>
      <c r="I42" s="680"/>
      <c r="J42" s="680"/>
    </row>
    <row r="43" spans="1:10" ht="15" customHeight="1">
      <c r="A43" s="87" t="s">
        <v>1278</v>
      </c>
      <c r="B43" s="88" t="s">
        <v>1273</v>
      </c>
      <c r="C43" s="528">
        <f>+'Ingreso Interno'!C68</f>
        <v>143200000</v>
      </c>
      <c r="D43" s="62">
        <f>+C43*100/$C$7</f>
        <v>4.7716055487381697</v>
      </c>
      <c r="E43" s="868"/>
      <c r="F43" s="680"/>
      <c r="G43" s="680"/>
      <c r="H43" s="680"/>
      <c r="I43" s="680"/>
      <c r="J43" s="680"/>
    </row>
    <row r="44" spans="1:10" ht="12" customHeight="1">
      <c r="A44" s="66"/>
      <c r="B44" s="80"/>
      <c r="C44" s="530"/>
      <c r="D44" s="72"/>
      <c r="E44" s="868"/>
      <c r="F44" s="871"/>
      <c r="G44" s="680"/>
      <c r="H44" s="680"/>
      <c r="I44" s="680"/>
      <c r="J44" s="680"/>
    </row>
    <row r="45" spans="1:10" ht="12" customHeight="1">
      <c r="A45" s="86" t="s">
        <v>1226</v>
      </c>
      <c r="B45" s="86" t="s">
        <v>1227</v>
      </c>
      <c r="C45" s="687">
        <f>+C46</f>
        <v>3733000</v>
      </c>
      <c r="D45" s="72"/>
      <c r="E45" s="868"/>
      <c r="F45" s="680"/>
      <c r="G45" s="680"/>
      <c r="H45" s="680"/>
      <c r="I45" s="680"/>
      <c r="J45" s="680"/>
    </row>
    <row r="46" spans="1:10" ht="12" customHeight="1">
      <c r="A46" s="65" t="s">
        <v>1228</v>
      </c>
      <c r="B46" s="69" t="s">
        <v>1229</v>
      </c>
      <c r="C46" s="530">
        <f>+'Ingreso Interno'!C90</f>
        <v>3733000</v>
      </c>
      <c r="D46" s="62">
        <f>+C46*100/$C$7</f>
        <v>0.12438829269161723</v>
      </c>
      <c r="E46" s="868"/>
      <c r="F46" s="680"/>
      <c r="G46" s="680"/>
      <c r="H46" s="680"/>
      <c r="I46" s="680"/>
      <c r="J46" s="680"/>
    </row>
    <row r="47" spans="1:10" ht="12" customHeight="1">
      <c r="A47" s="66"/>
      <c r="B47" s="80"/>
      <c r="C47" s="530"/>
      <c r="D47" s="72"/>
      <c r="E47" s="868"/>
      <c r="F47" s="680"/>
      <c r="G47" s="680"/>
      <c r="H47" s="680"/>
      <c r="I47" s="680"/>
      <c r="J47" s="680"/>
    </row>
    <row r="48" spans="1:10" ht="15" customHeight="1">
      <c r="A48" s="86" t="s">
        <v>989</v>
      </c>
      <c r="B48" s="86" t="s">
        <v>994</v>
      </c>
      <c r="C48" s="685">
        <f>+C49+C64</f>
        <v>3400000</v>
      </c>
      <c r="D48" s="72"/>
      <c r="E48" s="868"/>
      <c r="F48" s="680"/>
      <c r="G48" s="680"/>
      <c r="H48" s="680"/>
      <c r="I48" s="680"/>
      <c r="J48" s="680"/>
    </row>
    <row r="49" spans="1:10" ht="15" customHeight="1">
      <c r="A49" s="81" t="s">
        <v>990</v>
      </c>
      <c r="B49" s="81" t="s">
        <v>993</v>
      </c>
      <c r="C49" s="682">
        <f>+C51</f>
        <v>3000000</v>
      </c>
      <c r="D49" s="62"/>
      <c r="E49" s="868"/>
      <c r="F49" s="680"/>
      <c r="G49" s="680"/>
      <c r="H49" s="680"/>
      <c r="I49" s="680"/>
      <c r="J49" s="680"/>
    </row>
    <row r="50" spans="1:10" ht="15" customHeight="1">
      <c r="A50" s="64"/>
      <c r="B50" s="85" t="s">
        <v>995</v>
      </c>
      <c r="C50" s="683"/>
      <c r="D50" s="70"/>
      <c r="E50" s="868"/>
      <c r="F50" s="872"/>
      <c r="G50" s="680"/>
      <c r="H50" s="680"/>
      <c r="I50" s="680"/>
      <c r="J50" s="680"/>
    </row>
    <row r="51" spans="1:10" ht="15" customHeight="1">
      <c r="A51" s="65" t="s">
        <v>991</v>
      </c>
      <c r="B51" s="69" t="s">
        <v>33</v>
      </c>
      <c r="C51" s="529">
        <f>+'Ingreso Interno'!C78</f>
        <v>3000000</v>
      </c>
      <c r="D51" s="62">
        <f>+C51*100/$C$7</f>
        <v>9.9963803395352713E-2</v>
      </c>
      <c r="E51" s="868"/>
      <c r="F51" s="680"/>
      <c r="G51" s="680"/>
      <c r="H51" s="680"/>
      <c r="I51" s="680"/>
      <c r="J51" s="680"/>
    </row>
    <row r="52" spans="1:10" ht="12" customHeight="1">
      <c r="A52" s="66"/>
      <c r="B52" s="80"/>
      <c r="C52" s="530"/>
      <c r="D52" s="72"/>
      <c r="E52" s="868"/>
      <c r="F52" s="680"/>
      <c r="G52" s="680"/>
      <c r="H52" s="680"/>
      <c r="I52" s="680"/>
      <c r="J52" s="680"/>
    </row>
    <row r="53" spans="1:10" ht="12" customHeight="1">
      <c r="A53" s="67"/>
      <c r="B53" s="67"/>
      <c r="C53" s="528"/>
      <c r="D53" s="68"/>
      <c r="E53" s="868"/>
      <c r="F53" s="680"/>
      <c r="G53" s="680"/>
      <c r="H53" s="680"/>
      <c r="I53" s="680"/>
      <c r="J53" s="680"/>
    </row>
    <row r="54" spans="1:10" ht="12" customHeight="1">
      <c r="A54" s="67"/>
      <c r="B54" s="67"/>
      <c r="C54" s="528"/>
      <c r="D54" s="68"/>
      <c r="E54" s="868"/>
      <c r="F54" s="680"/>
      <c r="G54" s="680"/>
      <c r="H54" s="680"/>
      <c r="I54" s="680"/>
      <c r="J54" s="680"/>
    </row>
    <row r="55" spans="1:10" ht="12" customHeight="1">
      <c r="A55" s="67"/>
      <c r="B55" s="67"/>
      <c r="C55" s="528"/>
      <c r="D55" s="68"/>
      <c r="E55" s="868"/>
      <c r="F55" s="680"/>
      <c r="G55" s="680"/>
      <c r="H55" s="680"/>
      <c r="I55" s="680"/>
      <c r="J55" s="680"/>
    </row>
    <row r="56" spans="1:10" ht="12" customHeight="1">
      <c r="A56" s="67"/>
      <c r="B56" s="67"/>
      <c r="C56" s="528"/>
      <c r="D56" s="68"/>
      <c r="E56" s="868"/>
      <c r="F56" s="680"/>
      <c r="G56" s="680"/>
      <c r="H56" s="680"/>
      <c r="I56" s="680"/>
      <c r="J56" s="680"/>
    </row>
    <row r="57" spans="1:10" ht="12" customHeight="1">
      <c r="A57" s="1003" t="s">
        <v>23</v>
      </c>
      <c r="B57" s="1003"/>
      <c r="C57" s="1003"/>
      <c r="D57" s="1003"/>
      <c r="E57" s="868"/>
      <c r="F57" s="680"/>
      <c r="G57" s="680"/>
      <c r="H57" s="680"/>
      <c r="I57" s="680"/>
      <c r="J57" s="680"/>
    </row>
    <row r="58" spans="1:10" ht="12" customHeight="1">
      <c r="A58" s="1003" t="s">
        <v>1350</v>
      </c>
      <c r="B58" s="1003"/>
      <c r="C58" s="1003"/>
      <c r="D58" s="1003"/>
      <c r="E58" s="868"/>
      <c r="F58" s="680"/>
      <c r="G58" s="680"/>
      <c r="H58" s="680"/>
      <c r="I58" s="680"/>
      <c r="J58" s="680"/>
    </row>
    <row r="59" spans="1:10" ht="12" customHeight="1">
      <c r="A59" s="1002"/>
      <c r="B59" s="1002"/>
      <c r="C59" s="1002"/>
      <c r="E59" s="868"/>
      <c r="F59" s="680"/>
      <c r="G59" s="680"/>
      <c r="H59" s="680"/>
      <c r="I59" s="680"/>
      <c r="J59" s="680"/>
    </row>
    <row r="60" spans="1:10" ht="12" customHeight="1">
      <c r="A60" s="1003" t="s">
        <v>182</v>
      </c>
      <c r="B60" s="1003"/>
      <c r="C60" s="1003"/>
      <c r="D60" s="1003"/>
      <c r="E60" s="868"/>
      <c r="F60" s="680"/>
      <c r="G60" s="680"/>
      <c r="H60" s="680"/>
      <c r="I60" s="680"/>
      <c r="J60" s="680"/>
    </row>
    <row r="61" spans="1:10" ht="12" customHeight="1">
      <c r="A61" s="71"/>
      <c r="B61" s="71"/>
      <c r="C61" s="688"/>
      <c r="D61" s="71"/>
      <c r="E61" s="868"/>
      <c r="F61" s="680"/>
      <c r="G61" s="680"/>
      <c r="H61" s="680"/>
      <c r="I61" s="680"/>
      <c r="J61" s="680"/>
    </row>
    <row r="62" spans="1:10" ht="16.5" customHeight="1">
      <c r="A62" s="58" t="s">
        <v>1020</v>
      </c>
      <c r="B62" s="58" t="s">
        <v>60</v>
      </c>
      <c r="C62" s="681" t="s">
        <v>1022</v>
      </c>
      <c r="D62" s="90" t="s">
        <v>181</v>
      </c>
      <c r="E62" s="868"/>
      <c r="F62" s="680"/>
      <c r="G62" s="680"/>
      <c r="H62" s="680"/>
      <c r="I62" s="680"/>
      <c r="J62" s="680"/>
    </row>
    <row r="63" spans="1:10" ht="16.5" customHeight="1">
      <c r="A63" s="92"/>
      <c r="B63" s="92"/>
      <c r="C63" s="689"/>
      <c r="D63" s="93"/>
      <c r="E63" s="868"/>
      <c r="F63" s="680"/>
      <c r="G63" s="680"/>
      <c r="H63" s="680"/>
      <c r="I63" s="680"/>
      <c r="J63" s="680"/>
    </row>
    <row r="64" spans="1:10" ht="15" customHeight="1">
      <c r="A64" s="86" t="s">
        <v>998</v>
      </c>
      <c r="B64" s="86" t="s">
        <v>39</v>
      </c>
      <c r="C64" s="685">
        <f>+C65</f>
        <v>400000</v>
      </c>
      <c r="D64" s="62"/>
      <c r="E64" s="868"/>
      <c r="F64" s="680"/>
      <c r="G64" s="680"/>
      <c r="H64" s="680"/>
      <c r="I64" s="680"/>
      <c r="J64" s="680"/>
    </row>
    <row r="65" spans="1:10" ht="15" customHeight="1">
      <c r="A65" s="65" t="s">
        <v>997</v>
      </c>
      <c r="B65" s="69" t="s">
        <v>1000</v>
      </c>
      <c r="C65" s="529">
        <f>+'Ingreso Interno'!C81</f>
        <v>400000</v>
      </c>
      <c r="D65" s="62">
        <f>+C65*100/$C$7</f>
        <v>1.3328507119380363E-2</v>
      </c>
      <c r="E65" s="868"/>
      <c r="F65" s="680"/>
      <c r="G65" s="680"/>
      <c r="H65" s="680"/>
      <c r="I65" s="680"/>
      <c r="J65" s="680"/>
    </row>
    <row r="66" spans="1:10" ht="12" customHeight="1">
      <c r="A66" s="66"/>
      <c r="B66" s="80"/>
      <c r="C66" s="530"/>
      <c r="D66" s="72"/>
      <c r="E66" s="868"/>
      <c r="F66" s="680"/>
      <c r="G66" s="680"/>
      <c r="H66" s="680"/>
      <c r="I66" s="680"/>
      <c r="J66" s="680"/>
    </row>
    <row r="67" spans="1:10" ht="15" customHeight="1">
      <c r="A67" s="81" t="s">
        <v>1012</v>
      </c>
      <c r="B67" s="81" t="s">
        <v>1013</v>
      </c>
      <c r="C67" s="682">
        <f>+C68</f>
        <v>1273000</v>
      </c>
      <c r="D67" s="72"/>
      <c r="E67" s="868"/>
      <c r="F67" s="680"/>
      <c r="G67" s="680"/>
      <c r="H67" s="680"/>
      <c r="I67" s="680"/>
      <c r="J67" s="680"/>
    </row>
    <row r="68" spans="1:10" ht="15" customHeight="1">
      <c r="A68" s="81" t="s">
        <v>1014</v>
      </c>
      <c r="B68" s="81" t="s">
        <v>1015</v>
      </c>
      <c r="C68" s="682">
        <f>+C69</f>
        <v>1273000</v>
      </c>
      <c r="D68" s="62"/>
      <c r="E68" s="868"/>
      <c r="F68" s="680"/>
      <c r="G68" s="680"/>
      <c r="H68" s="680"/>
      <c r="I68" s="680"/>
      <c r="J68" s="680"/>
    </row>
    <row r="69" spans="1:10" ht="15" customHeight="1">
      <c r="A69" s="85" t="s">
        <v>1016</v>
      </c>
      <c r="B69" s="85" t="s">
        <v>1017</v>
      </c>
      <c r="C69" s="690">
        <f>+C70</f>
        <v>1273000</v>
      </c>
      <c r="D69" s="70"/>
      <c r="E69" s="868"/>
      <c r="F69" s="680"/>
      <c r="G69" s="680"/>
      <c r="H69" s="680"/>
      <c r="I69" s="680"/>
      <c r="J69" s="680"/>
    </row>
    <row r="70" spans="1:10" ht="15" customHeight="1">
      <c r="A70" s="65" t="s">
        <v>1018</v>
      </c>
      <c r="B70" s="69" t="s">
        <v>185</v>
      </c>
      <c r="C70" s="529">
        <f>+'Ingreso Interno'!C85</f>
        <v>1273000</v>
      </c>
      <c r="D70" s="62">
        <f>+C70*100/$C$7</f>
        <v>4.2417973907428005E-2</v>
      </c>
      <c r="E70" s="868"/>
      <c r="F70" s="680"/>
      <c r="G70" s="680"/>
      <c r="H70" s="680"/>
      <c r="I70" s="680"/>
      <c r="J70" s="680"/>
    </row>
    <row r="71" spans="1:10" ht="12" customHeight="1">
      <c r="A71" s="66"/>
      <c r="B71" s="80"/>
      <c r="C71" s="530"/>
      <c r="D71" s="72"/>
      <c r="E71" s="868"/>
      <c r="F71" s="680"/>
      <c r="G71" s="680"/>
      <c r="H71" s="680"/>
      <c r="I71" s="680"/>
      <c r="J71" s="680"/>
    </row>
    <row r="72" spans="1:10" ht="12" customHeight="1">
      <c r="A72" s="66"/>
      <c r="B72" s="80"/>
      <c r="C72" s="530"/>
      <c r="D72" s="72"/>
      <c r="E72" s="868"/>
      <c r="F72" s="680"/>
      <c r="G72" s="680"/>
      <c r="H72" s="680"/>
      <c r="I72" s="680"/>
      <c r="J72" s="680"/>
    </row>
    <row r="73" spans="1:10" ht="12.75" customHeight="1">
      <c r="A73" s="89" t="s">
        <v>1005</v>
      </c>
      <c r="B73" s="89" t="s">
        <v>1010</v>
      </c>
      <c r="C73" s="690">
        <f>+C74</f>
        <v>48000000</v>
      </c>
      <c r="D73" s="277"/>
      <c r="E73" s="868"/>
      <c r="F73" s="680"/>
      <c r="G73" s="680"/>
      <c r="H73" s="680"/>
      <c r="I73" s="680"/>
      <c r="J73" s="680"/>
    </row>
    <row r="74" spans="1:10" ht="15" customHeight="1">
      <c r="A74" s="65" t="s">
        <v>1009</v>
      </c>
      <c r="B74" s="69" t="s">
        <v>1011</v>
      </c>
      <c r="C74" s="691">
        <f>+'Ingreso Interno'!C87</f>
        <v>48000000</v>
      </c>
      <c r="D74" s="62">
        <f>+C74*100/$C$7</f>
        <v>1.5994208543256434</v>
      </c>
      <c r="E74" s="868"/>
      <c r="F74" s="680"/>
      <c r="G74" s="680"/>
      <c r="H74" s="680"/>
      <c r="I74" s="680"/>
      <c r="J74" s="680"/>
    </row>
    <row r="75" spans="1:10" ht="12" customHeight="1">
      <c r="A75" s="66"/>
      <c r="B75" s="80"/>
      <c r="C75" s="530"/>
      <c r="D75" s="72"/>
      <c r="E75" s="868"/>
      <c r="F75" s="680"/>
      <c r="G75" s="680"/>
      <c r="H75" s="680"/>
      <c r="I75" s="680"/>
      <c r="J75" s="680"/>
    </row>
    <row r="76" spans="1:10" ht="15" customHeight="1">
      <c r="A76" s="89" t="s">
        <v>27</v>
      </c>
      <c r="B76" s="89" t="s">
        <v>28</v>
      </c>
      <c r="C76" s="684">
        <f>+C77</f>
        <v>16000000</v>
      </c>
      <c r="D76" s="277"/>
      <c r="E76" s="868"/>
      <c r="F76" s="680"/>
      <c r="G76" s="680"/>
      <c r="H76" s="680"/>
      <c r="I76" s="680"/>
      <c r="J76" s="680"/>
    </row>
    <row r="77" spans="1:10" ht="15" customHeight="1">
      <c r="A77" s="65" t="s">
        <v>29</v>
      </c>
      <c r="B77" s="69" t="s">
        <v>30</v>
      </c>
      <c r="C77" s="529">
        <f>+'Ingreso Interno'!C91</f>
        <v>16000000</v>
      </c>
      <c r="D77" s="62">
        <f>+C77*100/$C$7</f>
        <v>0.53314028477521447</v>
      </c>
      <c r="E77" s="868"/>
      <c r="F77" s="680"/>
      <c r="G77" s="680"/>
      <c r="H77" s="680"/>
      <c r="I77" s="680"/>
      <c r="J77" s="680"/>
    </row>
    <row r="78" spans="1:10" ht="12" customHeight="1">
      <c r="A78" s="66"/>
      <c r="B78" s="80"/>
      <c r="C78" s="530"/>
      <c r="D78" s="72"/>
      <c r="E78" s="868"/>
      <c r="F78" s="680"/>
      <c r="G78" s="680"/>
      <c r="H78" s="680"/>
      <c r="I78" s="680"/>
      <c r="J78" s="680"/>
    </row>
    <row r="79" spans="1:10" ht="15" customHeight="1">
      <c r="A79" s="86" t="s">
        <v>2</v>
      </c>
      <c r="B79" s="86" t="s">
        <v>4</v>
      </c>
      <c r="C79" s="685">
        <f>+C80</f>
        <v>15509106.34</v>
      </c>
      <c r="D79" s="72"/>
      <c r="E79" s="868"/>
      <c r="F79" s="680"/>
      <c r="G79" s="680"/>
      <c r="H79" s="680"/>
      <c r="I79" s="680"/>
      <c r="J79" s="680"/>
    </row>
    <row r="80" spans="1:10" ht="15" customHeight="1">
      <c r="A80" s="81" t="s">
        <v>3</v>
      </c>
      <c r="B80" s="81" t="s">
        <v>40</v>
      </c>
      <c r="C80" s="682">
        <f>+C81+C82</f>
        <v>15509106.34</v>
      </c>
      <c r="D80" s="62"/>
      <c r="E80" s="868"/>
      <c r="F80" s="680"/>
      <c r="G80" s="680"/>
      <c r="H80" s="680"/>
      <c r="I80" s="680"/>
      <c r="J80" s="680"/>
    </row>
    <row r="81" spans="1:10" ht="13.5" customHeight="1">
      <c r="A81" s="69" t="s">
        <v>0</v>
      </c>
      <c r="B81" s="69" t="s">
        <v>5</v>
      </c>
      <c r="C81" s="564">
        <f>+'Ingreso Interno'!C95</f>
        <v>8085227.21</v>
      </c>
      <c r="D81" s="62">
        <f>+C81*100/$C$7</f>
        <v>0.26941002107573203</v>
      </c>
      <c r="E81" s="869"/>
      <c r="F81" s="680"/>
      <c r="G81" s="680"/>
      <c r="H81" s="680"/>
      <c r="I81" s="680"/>
      <c r="J81" s="680"/>
    </row>
    <row r="82" spans="1:10" ht="15" customHeight="1">
      <c r="A82" s="65" t="s">
        <v>6</v>
      </c>
      <c r="B82" s="69" t="s">
        <v>41</v>
      </c>
      <c r="C82" s="529">
        <f>+'Ingreso Interno'!C97</f>
        <v>7423879.1299999999</v>
      </c>
      <c r="D82" s="62">
        <f>+C82*100/$C$7</f>
        <v>0.24737306459406072</v>
      </c>
      <c r="E82" s="868"/>
      <c r="F82" s="680"/>
      <c r="G82" s="680"/>
      <c r="H82" s="680"/>
      <c r="I82" s="680"/>
      <c r="J82" s="680"/>
    </row>
    <row r="83" spans="1:10" ht="12" customHeight="1">
      <c r="A83" s="66" t="s">
        <v>7</v>
      </c>
      <c r="B83" s="80"/>
      <c r="C83" s="530"/>
      <c r="D83" s="72"/>
      <c r="E83" s="868"/>
      <c r="F83" s="680"/>
      <c r="G83" s="680"/>
      <c r="H83" s="680"/>
      <c r="I83" s="680"/>
      <c r="J83" s="680"/>
    </row>
    <row r="84" spans="1:10" ht="15" customHeight="1">
      <c r="A84" s="86" t="s">
        <v>10</v>
      </c>
      <c r="B84" s="86" t="s">
        <v>11</v>
      </c>
      <c r="C84" s="685">
        <f>+C85</f>
        <v>2095230185</v>
      </c>
      <c r="D84" s="72"/>
      <c r="E84" s="868"/>
      <c r="F84" s="680"/>
      <c r="G84" s="680"/>
      <c r="H84" s="680"/>
      <c r="I84" s="680"/>
      <c r="J84" s="680"/>
    </row>
    <row r="85" spans="1:10" ht="15" customHeight="1">
      <c r="A85" s="86" t="s">
        <v>13</v>
      </c>
      <c r="B85" s="86" t="s">
        <v>16</v>
      </c>
      <c r="C85" s="685">
        <f>+C86</f>
        <v>2095230185</v>
      </c>
      <c r="D85" s="62"/>
      <c r="E85" s="868"/>
      <c r="F85" s="680"/>
      <c r="G85" s="680"/>
      <c r="H85" s="680"/>
      <c r="I85" s="680"/>
      <c r="J85" s="680"/>
    </row>
    <row r="86" spans="1:10" ht="15" customHeight="1">
      <c r="A86" s="81" t="s">
        <v>14</v>
      </c>
      <c r="B86" s="81" t="s">
        <v>17</v>
      </c>
      <c r="C86" s="682">
        <f>+C87+C88</f>
        <v>2095230185</v>
      </c>
      <c r="D86" s="62"/>
      <c r="E86" s="868"/>
      <c r="F86" s="680"/>
      <c r="G86" s="680"/>
      <c r="H86" s="680"/>
      <c r="I86" s="680"/>
      <c r="J86" s="680"/>
    </row>
    <row r="87" spans="1:10" ht="15" customHeight="1">
      <c r="A87" s="61" t="s">
        <v>12</v>
      </c>
      <c r="B87" s="61" t="s">
        <v>18</v>
      </c>
      <c r="C87" s="692">
        <f>+'Ingreso Interno'!C102+'Ingreso Interno'!C103</f>
        <v>2094199674.9300001</v>
      </c>
      <c r="D87" s="62">
        <f>+C87*100/$C$7</f>
        <v>69.78138819177137</v>
      </c>
      <c r="E87" s="868"/>
      <c r="F87" s="680"/>
      <c r="G87" s="680"/>
      <c r="H87" s="680"/>
      <c r="I87" s="680"/>
      <c r="J87" s="680"/>
    </row>
    <row r="88" spans="1:10" ht="15" customHeight="1">
      <c r="A88" s="65" t="s">
        <v>15</v>
      </c>
      <c r="B88" s="69" t="s">
        <v>186</v>
      </c>
      <c r="C88" s="693">
        <f>+'Ingreso Interno'!C105+'Ingreso Interno'!C106</f>
        <v>1030510.07</v>
      </c>
      <c r="D88" s="62">
        <f>+C88*100/$C$7</f>
        <v>3.4337902011470391E-2</v>
      </c>
      <c r="E88" s="868"/>
      <c r="F88" s="680"/>
      <c r="G88" s="680"/>
      <c r="H88" s="680"/>
      <c r="I88" s="680"/>
      <c r="J88" s="680"/>
    </row>
    <row r="89" spans="1:10" ht="12" customHeight="1">
      <c r="A89" s="785"/>
      <c r="B89" s="81"/>
      <c r="C89" s="682">
        <f>+C90</f>
        <v>0</v>
      </c>
      <c r="D89" s="62"/>
      <c r="E89" s="868"/>
      <c r="F89" s="680"/>
      <c r="G89" s="680"/>
      <c r="H89" s="680"/>
      <c r="I89" s="680"/>
      <c r="J89" s="680"/>
    </row>
    <row r="90" spans="1:10" ht="12" customHeight="1">
      <c r="A90" s="61"/>
      <c r="B90" s="61"/>
      <c r="C90" s="692">
        <f>+'Ingreso Interno'!C107</f>
        <v>0</v>
      </c>
      <c r="D90" s="62">
        <f>+C90*100/$C$7</f>
        <v>0</v>
      </c>
      <c r="E90" s="868"/>
      <c r="F90" s="680"/>
      <c r="G90" s="680"/>
      <c r="H90" s="680"/>
      <c r="I90" s="868"/>
      <c r="J90" s="680"/>
    </row>
    <row r="91" spans="1:10" ht="12" customHeight="1">
      <c r="A91" s="81"/>
      <c r="B91" s="81"/>
      <c r="C91" s="687"/>
      <c r="D91" s="72"/>
      <c r="E91" s="868"/>
      <c r="F91" s="680"/>
      <c r="G91" s="680"/>
      <c r="H91" s="680"/>
      <c r="I91" s="868"/>
      <c r="J91" s="680"/>
    </row>
    <row r="92" spans="1:10" ht="12" customHeight="1">
      <c r="A92" s="714"/>
      <c r="B92" s="61"/>
      <c r="C92" s="715"/>
      <c r="D92" s="62">
        <f>+C92*100/$C$7</f>
        <v>0</v>
      </c>
      <c r="E92" s="868"/>
      <c r="F92" s="680"/>
      <c r="G92" s="680"/>
      <c r="H92" s="680"/>
      <c r="I92" s="868"/>
      <c r="J92" s="680"/>
    </row>
    <row r="93" spans="1:10" ht="12" customHeight="1">
      <c r="A93" s="67"/>
      <c r="B93" s="712"/>
      <c r="C93" s="713"/>
      <c r="D93" s="68"/>
    </row>
    <row r="94" spans="1:10" ht="12" customHeight="1">
      <c r="A94" s="67"/>
      <c r="B94" s="712"/>
      <c r="C94" s="713"/>
      <c r="D94" s="68"/>
    </row>
    <row r="98" spans="1:1" ht="15" customHeight="1">
      <c r="A98" s="54" t="s">
        <v>1483</v>
      </c>
    </row>
    <row r="99" spans="1:1" ht="15" customHeight="1">
      <c r="A99" s="54" t="s">
        <v>1484</v>
      </c>
    </row>
  </sheetData>
  <mergeCells count="8">
    <mergeCell ref="A59:C59"/>
    <mergeCell ref="A60:D60"/>
    <mergeCell ref="A3:C3"/>
    <mergeCell ref="A1:D1"/>
    <mergeCell ref="A2:D2"/>
    <mergeCell ref="A4:D4"/>
    <mergeCell ref="A57:D57"/>
    <mergeCell ref="A58:D58"/>
  </mergeCells>
  <phoneticPr fontId="3" type="noConversion"/>
  <hyperlinks>
    <hyperlink ref="A9" location="_1.1.0.0.00.00.0.0.000___INGRESOS TR" display="_1.1.0.0.00.00.0.0.000___INGRESOS TR" xr:uid="{00000000-0004-0000-0200-000000000000}"/>
    <hyperlink ref="A10" location="_1.1.2.0.00.00.0.0.000___IMPUESTOS  " display="_1.1.2.0.00.00.0.0.000___IMPUESTOS  " xr:uid="{00000000-0004-0000-0200-000001000000}"/>
    <hyperlink ref="A16" location="_1.1.3.2.00.00.0.0.000___IMPUESTOS E" display="_1.1.3.2.00.00.0.0.000___IMPUESTOS E" xr:uid="{00000000-0004-0000-0200-000002000000}"/>
    <hyperlink ref="A18" location="_1.1.3.2.01.00.0.0.000___IMPUESTOS  " display="_1.1.3.2.01.00.0.0.000___IMPUESTOS  " xr:uid="{00000000-0004-0000-0200-000003000000}"/>
    <hyperlink ref="A19" location="_1.1.3.2.01.00.0.0.000___IMPUESTOS  " display="_1.1.3.2.01.00.0.0.000___IMPUESTOS  " xr:uid="{00000000-0004-0000-0200-000004000000}"/>
    <hyperlink ref="A20" location="_1.1.3.2.01.04.0.0.000___Impuestos e" display="_1.1.3.2.01.04.0.0.000___Impuestos e" xr:uid="{00000000-0004-0000-0200-000005000000}"/>
    <hyperlink ref="A23" location="_1.1.3.2.02.00.0.0.000___IMPUESTOS E" display="_1.1.3.2.02.00.0.0.000___IMPUESTOS E" xr:uid="{00000000-0004-0000-0200-000006000000}"/>
    <hyperlink ref="A24" location="_1.1.3.2.02.00.0.0.000___IMPUESTOS E" display="_1.1.3.2.02.00.0.0.000___IMPUESTOS E" xr:uid="{00000000-0004-0000-0200-000007000000}"/>
    <hyperlink ref="A25" location="_1.1.3.2.02.03.0.0.000__" display="_1.1.3.2.02.03.0.0.000__" xr:uid="{00000000-0004-0000-0200-000008000000}"/>
    <hyperlink ref="A27" location="_1.1.3.3.00.00.0.0.000__OTROS_IMPUES" display="_1.1.3.3.00.00.0.0.000__OTROS_IMPUES" xr:uid="{00000000-0004-0000-0200-000009000000}"/>
    <hyperlink ref="A28" location="_1.1.3.3.01.00.0.0.000__Licencias_  " display="_1.1.3.3.01.00.0.0.000__Licencias_  " xr:uid="{00000000-0004-0000-0200-00000A000000}"/>
    <hyperlink ref="A30" location="_1.1.9.0.00.00.0.0.000___OTROS INGRE" display="_1.1.9.0.00.00.0.0.000___OTROS INGRE" xr:uid="{00000000-0004-0000-0200-00000B000000}"/>
    <hyperlink ref="A31" location="_1.1.9.1.00.00.0.0.000___IMPUESTO DE" display="_1.1.9.1.00.00.0.0.000___IMPUESTO DE" xr:uid="{00000000-0004-0000-0200-00000C000000}"/>
    <hyperlink ref="A32" location="_1.3.0.0.00.00.0.0.000___INGRESOS NO" display="_1.3.0.0.00.00.0.0.000___INGRESOS NO" xr:uid="{00000000-0004-0000-0200-00000D000000}"/>
    <hyperlink ref="A33" location="_1.3.1.0.00.00.0.0.000___VENTA DE BI" display="_1.3.1.0.00.00.0.0.000___VENTA DE BI" xr:uid="{00000000-0004-0000-0200-00000E000000}"/>
    <hyperlink ref="A34" location="_1.3.1.2.00.00.0.0.000__" display="_1.3.1.2.00.00.0.0.000__" xr:uid="{00000000-0004-0000-0200-00000F000000}"/>
    <hyperlink ref="A35" location="_1.3.1.2.01.00.0.0.000__SERVICIOS_DE" display="_1.3.1.2.01.00.0.0.000__SERVICIOS_DE" xr:uid="{00000000-0004-0000-0200-000010000000}"/>
    <hyperlink ref="A38" location="_1.3.1.2.04.00.0.0.000__" display="_1.3.1.2.04.00.0.0.000__" xr:uid="{00000000-0004-0000-0200-000011000000}"/>
    <hyperlink ref="A42" location="_1.3.1.2.05.04.0.0.000___Servicios d" display="_1.3.1.2.05.04.0.0.000___Servicios d" xr:uid="{00000000-0004-0000-0200-000012000000}"/>
    <hyperlink ref="A48" location="_1.3.1.3.00.00.0.0.000__" display="_1.3.1.3.00.00.0.0.000__" xr:uid="{00000000-0004-0000-0200-000013000000}"/>
    <hyperlink ref="A49" location="_1.3.1.3.01.00.0.0.000___DERECHOS AD" display="_1.3.1.3.01.00.0.0.000___DERECHOS AD" xr:uid="{00000000-0004-0000-0200-000014000000}"/>
    <hyperlink ref="A51" location="_1.3.1.3.01.01.0.0.000__" display="_1.3.1.3.01.01.0.0.000__" xr:uid="{00000000-0004-0000-0200-000015000000}"/>
    <hyperlink ref="A64" location="_1.3.1.3.02.00.0.0.000___DERECHOS AD" display="_1.3.1.3.02.00.0.0.000___DERECHOS AD" xr:uid="{00000000-0004-0000-0200-000016000000}"/>
    <hyperlink ref="A65" location="_1.3.1.3.02.09.0.0.000__" display="_1.3.1.3.02.09.0.0.000__" xr:uid="{00000000-0004-0000-0200-000017000000}"/>
    <hyperlink ref="B9" location="_1.1.0.0.00.00.0.0.000___INGRESOS TR" display="_1.1.0.0.00.00.0.0.000___INGRESOS TR" xr:uid="{00000000-0004-0000-0200-000018000000}"/>
    <hyperlink ref="B10" location="_1.1.2.0.00.00.0.0.000___IMPUESTOS  " display="_1.1.2.0.00.00.0.0.000___IMPUESTOS  " xr:uid="{00000000-0004-0000-0200-000019000000}"/>
    <hyperlink ref="B16" location="_1.1.3.2.00.00.0.0.000___IMPUESTOS E" display="_1.1.3.2.00.00.0.0.000___IMPUESTOS E" xr:uid="{00000000-0004-0000-0200-00001A000000}"/>
    <hyperlink ref="B17" location="_1.1.3.2.00.00.0.0.000___IMPUESTOS E" display="_1.1.3.2.00.00.0.0.000___IMPUESTOS E" xr:uid="{00000000-0004-0000-0200-00001B000000}"/>
    <hyperlink ref="B18" location="_1.1.3.2.01.00.0.0.000___IMPUESTOS  " display="_1.1.3.2.01.00.0.0.000___IMPUESTOS  " xr:uid="{00000000-0004-0000-0200-00001C000000}"/>
    <hyperlink ref="B19" location="_1.1.3.2.01.00.0.0.000___IMPUESTOS  " display="_1.1.3.2.01.00.0.0.000___IMPUESTOS  " xr:uid="{00000000-0004-0000-0200-00001D000000}"/>
    <hyperlink ref="B20" location="_1.1.3.2.01.04.0.0.000___Impuestos e" display="_1.1.3.2.01.04.0.0.000___Impuestos e" xr:uid="{00000000-0004-0000-0200-00001E000000}"/>
    <hyperlink ref="B23" location="_1.1.3.2.02.00.0.0.000___IMPUESTOS E" display="_1.1.3.2.02.00.0.0.000___IMPUESTOS E" xr:uid="{00000000-0004-0000-0200-00001F000000}"/>
    <hyperlink ref="B24" location="_1.1.3.2.02.00.0.0.000___IMPUESTOS E" display="_1.1.3.2.02.00.0.0.000___IMPUESTOS E" xr:uid="{00000000-0004-0000-0200-000020000000}"/>
    <hyperlink ref="B25" location="_1.1.3.2.02.03.0.0.000__" display="_1.1.3.2.02.03.0.0.000__" xr:uid="{00000000-0004-0000-0200-000021000000}"/>
    <hyperlink ref="B27" location="_1.1.3.3.00.00.0.0.000__OTROS_IMPUES" display="_1.1.3.3.00.00.0.0.000__OTROS_IMPUES" xr:uid="{00000000-0004-0000-0200-000022000000}"/>
    <hyperlink ref="B28" location="_1.1.3.3.01.00.0.0.000__Licencias_  " display="_1.1.3.3.01.00.0.0.000__Licencias_  " xr:uid="{00000000-0004-0000-0200-000023000000}"/>
    <hyperlink ref="B30" location="_1.1.9.0.00.00.0.0.000___OTROS INGRE" display="_1.1.9.0.00.00.0.0.000___OTROS INGRE" xr:uid="{00000000-0004-0000-0200-000024000000}"/>
    <hyperlink ref="B31" location="_1.1.9.1.00.00.0.0.000___IMPUESTO DE" display="_1.1.9.1.00.00.0.0.000___IMPUESTO DE" xr:uid="{00000000-0004-0000-0200-000025000000}"/>
    <hyperlink ref="B32" location="_1.3.0.0.00.00.0.0.000___INGRESOS NO" display="_1.3.0.0.00.00.0.0.000___INGRESOS NO" xr:uid="{00000000-0004-0000-0200-000026000000}"/>
    <hyperlink ref="B33" location="_1.3.1.0.00.00.0.0.000___VENTA DE BI" display="_1.3.1.0.00.00.0.0.000___VENTA DE BI" xr:uid="{00000000-0004-0000-0200-000027000000}"/>
    <hyperlink ref="B34" location="_1.3.1.2.00.00.0.0.000__" display="_1.3.1.2.00.00.0.0.000__" xr:uid="{00000000-0004-0000-0200-000028000000}"/>
    <hyperlink ref="B35" location="_1.3.1.2.01.00.0.0.000__SERVICIOS_DE" display="_1.3.1.2.01.00.0.0.000__SERVICIOS_DE" xr:uid="{00000000-0004-0000-0200-000029000000}"/>
    <hyperlink ref="B38" location="_1.3.1.2.04.00.0.0.000__" display="_1.3.1.2.04.00.0.0.000__" xr:uid="{00000000-0004-0000-0200-00002A000000}"/>
    <hyperlink ref="B42" location="_1.3.1.2.05.04.0.0.000___Servicios d" display="_1.3.1.2.05.04.0.0.000___Servicios d" xr:uid="{00000000-0004-0000-0200-00002B000000}"/>
    <hyperlink ref="A41" location="_1.3.1.2.05.04.0.0.000___Servicios d" display="_1.3.1.2.05.04.0.0.000___Servicios d" xr:uid="{00000000-0004-0000-0200-00002C000000}"/>
    <hyperlink ref="B41" location="_1.3.1.2.05.04.0.0.000___Servicios d" display="_1.3.1.2.05.04.0.0.000___Servicios d" xr:uid="{00000000-0004-0000-0200-00002D000000}"/>
    <hyperlink ref="B48" location="_1.3.1.3.00.00.0.0.000__" display="_1.3.1.3.00.00.0.0.000__" xr:uid="{00000000-0004-0000-0200-00002E000000}"/>
    <hyperlink ref="B49" location="_1.3.1.3.01.00.0.0.000___DERECHOS AD" display="_1.3.1.3.01.00.0.0.000___DERECHOS AD" xr:uid="{00000000-0004-0000-0200-00002F000000}"/>
    <hyperlink ref="B50" location="_1.3.1.3.01.00.0.0.000___DERECHOS AD" display="_1.3.1.3.01.00.0.0.000___DERECHOS AD" xr:uid="{00000000-0004-0000-0200-000030000000}"/>
    <hyperlink ref="B51" location="_1.3.1.3.01.01.0.0.000__" display="_1.3.1.3.01.01.0.0.000__" xr:uid="{00000000-0004-0000-0200-000031000000}"/>
    <hyperlink ref="B65" location="_1.3.1.3.02.09.0.0.000__" display="_1.3.1.3.02.09.0.0.000__" xr:uid="{00000000-0004-0000-0200-000032000000}"/>
    <hyperlink ref="B64" location="_1.3.1.3.02.00.0.0.000___DERECHOS AD" display="_1.3.1.3.02.00.0.0.000___DERECHOS AD" xr:uid="{00000000-0004-0000-0200-000033000000}"/>
    <hyperlink ref="B73" location="_1.3.4.0.00.00.0.0.000___INTERESES M" display="_1.3.4.0.00.00.0.0.000___INTERESES M" xr:uid="{00000000-0004-0000-0200-000034000000}"/>
    <hyperlink ref="B74" location="_1.3.4.1.00.00.0.0.000___Intereses m" display="_1.3.4.1.00.00.0.0.000___Intereses m" xr:uid="{00000000-0004-0000-0200-000035000000}"/>
    <hyperlink ref="B79" location="_1.4.0.0.00.00.0.0.000_TRANSFERENCIA" display="_1.4.0.0.00.00.0.0.000_TRANSFERENCIA" xr:uid="{00000000-0004-0000-0200-000036000000}"/>
    <hyperlink ref="B80" location="_1.4.1.1.00.00.0.0.000__TRANSFERENCIAS" display="_1.4.1.1.00.00.0.0.000__TRANSFERENCIAS" xr:uid="{00000000-0004-0000-0200-000037000000}"/>
    <hyperlink ref="B84" location="_2.0.0.0.00.00.0.0.000___INGRESOS DE" display="_2.0.0.0.00.00.0.0.000___INGRESOS DE" xr:uid="{00000000-0004-0000-0200-000038000000}"/>
    <hyperlink ref="B85" location="_2.4.0.0.00.00.0.0.000__" display="_2.4.0.0.00.00.0.0.000__" xr:uid="{00000000-0004-0000-0200-000039000000}"/>
    <hyperlink ref="B86" location="_2.4.1.1.00.00.0.0.000___TRANSFERENC" display="_2.4.1.1.00.00.0.0.000___TRANSFERENC" xr:uid="{00000000-0004-0000-0200-00003A000000}"/>
    <hyperlink ref="A21" location="_1.1.3.2.01.04.0.0.000___Impuestos e" display="_1.1.3.2.01.04.0.0.000___Impuestos e" xr:uid="{00000000-0004-0000-0200-00003B000000}"/>
    <hyperlink ref="A73" location="_1.1.0.0.00.00.0.0.000___INGRESOS TR" display="_1.1.0.0.00.00.0.0.000___INGRESOS TR" xr:uid="{00000000-0004-0000-0200-00003C000000}"/>
    <hyperlink ref="A74" location="_1.1.2.0.00.00.0.0.000___IMPUESTOS  " display="_1.1.2.0.00.00.0.0.000___IMPUESTOS  " xr:uid="{00000000-0004-0000-0200-00003D000000}"/>
    <hyperlink ref="A79" location="_1.1.3.2.00.00.0.0.000___IMPUESTOS E" display="_1.1.3.2.00.00.0.0.000___IMPUESTOS E" xr:uid="{00000000-0004-0000-0200-00003E000000}"/>
    <hyperlink ref="A80" location="_1.1.3.2.00.00.0.0.000___IMPUESTOS E" display="_1.1.3.2.00.00.0.0.000___IMPUESTOS E" xr:uid="{00000000-0004-0000-0200-00003F000000}"/>
    <hyperlink ref="A84" location="_1.1.3.2.01.00.0.0.000___IMPUESTOS  " display="_1.1.3.2.01.00.0.0.000___IMPUESTOS  " xr:uid="{00000000-0004-0000-0200-000040000000}"/>
    <hyperlink ref="A85" location="_1.1.3.2.02.00.0.0.000___IMPUESTOS E" display="_1.1.3.2.02.00.0.0.000___IMPUESTOS E" xr:uid="{00000000-0004-0000-0200-000041000000}"/>
    <hyperlink ref="A86" location="_1.1.3.2.02.03.0.0.000__" display="_1.1.3.2.02.03.0.0.000__" xr:uid="{00000000-0004-0000-0200-000042000000}"/>
  </hyperlinks>
  <pageMargins left="0.19685039370078741" right="0.19685039370078741" top="0.39370078740157483" bottom="0.19685039370078741" header="0" footer="0"/>
  <pageSetup scale="95" orientation="portrait" horizontalDpi="4294967294" verticalDpi="144" r:id="rId1"/>
  <headerFooter alignWithMargins="0">
    <oddHeader>&amp;R&amp;P</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9"/>
  <sheetViews>
    <sheetView workbookViewId="0">
      <pane xSplit="2" ySplit="7" topLeftCell="C8" activePane="bottomRight" state="frozen"/>
      <selection pane="topRight" activeCell="C1" sqref="C1"/>
      <selection pane="bottomLeft" activeCell="A8" sqref="A8"/>
      <selection pane="bottomRight" activeCell="I15" sqref="I15"/>
    </sheetView>
  </sheetViews>
  <sheetFormatPr baseColWidth="10" defaultRowHeight="15.75" customHeight="1"/>
  <cols>
    <col min="1" max="1" width="9.28515625" style="179" customWidth="1"/>
    <col min="2" max="2" width="61.7109375" style="179" customWidth="1"/>
    <col min="3" max="3" width="14.42578125" style="190" customWidth="1"/>
    <col min="4" max="4" width="13.85546875" style="190" customWidth="1"/>
    <col min="5" max="5" width="12.7109375" style="190" customWidth="1"/>
    <col min="6" max="6" width="13" style="179" customWidth="1"/>
    <col min="7" max="7" width="3.7109375" style="179" customWidth="1"/>
    <col min="8" max="8" width="15" style="179" customWidth="1"/>
    <col min="9" max="9" width="8.42578125" style="179" customWidth="1"/>
    <col min="10" max="10" width="13.42578125" style="179" customWidth="1"/>
    <col min="11" max="16384" width="11.42578125" style="179"/>
  </cols>
  <sheetData>
    <row r="1" spans="1:10" ht="15.75" customHeight="1">
      <c r="A1" s="1007" t="s">
        <v>199</v>
      </c>
      <c r="B1" s="1007"/>
      <c r="C1" s="1007"/>
      <c r="D1" s="1007"/>
      <c r="E1" s="1007"/>
      <c r="F1" s="1007"/>
    </row>
    <row r="2" spans="1:10" ht="15.75" customHeight="1">
      <c r="A2" s="1007" t="s">
        <v>1352</v>
      </c>
      <c r="B2" s="1007"/>
      <c r="C2" s="1007"/>
      <c r="D2" s="1007"/>
      <c r="E2" s="1007"/>
      <c r="F2" s="1007"/>
    </row>
    <row r="3" spans="1:10" ht="12.75" customHeight="1">
      <c r="A3" s="1008" t="s">
        <v>1006</v>
      </c>
      <c r="B3" s="1007"/>
      <c r="C3" s="1007"/>
      <c r="D3" s="1007"/>
      <c r="E3" s="1007"/>
      <c r="F3" s="1007"/>
      <c r="G3" s="213"/>
      <c r="H3" s="526"/>
    </row>
    <row r="4" spans="1:10" ht="15.75" customHeight="1">
      <c r="A4" s="1007" t="s">
        <v>397</v>
      </c>
      <c r="B4" s="1007"/>
      <c r="C4" s="1007"/>
      <c r="D4" s="1007"/>
      <c r="E4" s="1007"/>
      <c r="F4" s="1007"/>
      <c r="G4" s="213"/>
      <c r="I4" s="116"/>
      <c r="J4" s="825"/>
    </row>
    <row r="5" spans="1:10" ht="15.75" customHeight="1">
      <c r="A5" s="1007" t="s">
        <v>352</v>
      </c>
      <c r="B5" s="1007"/>
      <c r="C5" s="1007"/>
      <c r="D5" s="1007"/>
      <c r="E5" s="1007"/>
      <c r="F5" s="1007"/>
      <c r="G5" s="539"/>
      <c r="H5" s="526"/>
      <c r="J5" s="838"/>
    </row>
    <row r="6" spans="1:10" ht="15.75" customHeight="1">
      <c r="A6" s="180"/>
      <c r="B6" s="180"/>
      <c r="C6" s="1004" t="s">
        <v>357</v>
      </c>
      <c r="D6" s="1005"/>
      <c r="E6" s="1006"/>
      <c r="G6" s="213"/>
    </row>
    <row r="7" spans="1:10" s="200" customFormat="1" ht="43.5" customHeight="1">
      <c r="A7" s="763" t="s">
        <v>1020</v>
      </c>
      <c r="B7" s="763" t="s">
        <v>217</v>
      </c>
      <c r="C7" s="763" t="s">
        <v>354</v>
      </c>
      <c r="D7" s="761" t="s">
        <v>355</v>
      </c>
      <c r="E7" s="761" t="s">
        <v>356</v>
      </c>
      <c r="F7" s="764" t="s">
        <v>353</v>
      </c>
      <c r="H7" s="774" t="s">
        <v>1267</v>
      </c>
    </row>
    <row r="8" spans="1:10" ht="27" customHeight="1">
      <c r="A8" s="115"/>
      <c r="B8" s="181" t="s">
        <v>189</v>
      </c>
      <c r="C8" s="193">
        <f>+C9+C51+C125+C169+C197+C222+C254+C297+C323+C340</f>
        <v>342663708.65618169</v>
      </c>
      <c r="D8" s="193">
        <f>+D9+D51+D125+D169+D197+D222+D254+D297+D323+D340</f>
        <v>25504366.939671647</v>
      </c>
      <c r="E8" s="193">
        <f>+E9+E51+E125+E169+E197+E222+E254+E297+E323+E340</f>
        <v>82043760.431041673</v>
      </c>
      <c r="F8" s="191">
        <f>+C8+D8+E8</f>
        <v>450211836.02689499</v>
      </c>
      <c r="G8" s="236"/>
      <c r="H8" s="213">
        <f>+F8+'Distribucion Programas II '!Q10+'Distribucion Programas III UTGV'!C9+'Distrib Programas III Poyectos'!Y10</f>
        <v>3001086291.3402891</v>
      </c>
      <c r="I8" s="190"/>
      <c r="J8" s="783"/>
    </row>
    <row r="9" spans="1:10" ht="15.75" customHeight="1">
      <c r="A9" s="181">
        <v>0</v>
      </c>
      <c r="B9" s="181" t="s">
        <v>190</v>
      </c>
      <c r="C9" s="193">
        <f>+C10+C17+C24+C32+C40+C47</f>
        <v>315892112.98733628</v>
      </c>
      <c r="D9" s="193">
        <f>+D10+D17+D24+D32+D40+D47</f>
        <v>24791041.161747873</v>
      </c>
      <c r="E9" s="193">
        <f>+E10+E17+E24+E32+E40+E47</f>
        <v>0</v>
      </c>
      <c r="F9" s="191">
        <f t="shared" ref="F9:F72" si="0">+C9+D9+E9</f>
        <v>340683154.14908415</v>
      </c>
      <c r="G9" s="236"/>
      <c r="H9" s="190">
        <f>+'Ingreso Contraloría'!C7</f>
        <v>3001086291.3400002</v>
      </c>
      <c r="I9" s="190"/>
    </row>
    <row r="10" spans="1:10" ht="15.75" customHeight="1">
      <c r="A10" s="181" t="s">
        <v>218</v>
      </c>
      <c r="B10" s="181" t="s">
        <v>219</v>
      </c>
      <c r="C10" s="193">
        <f>SUM(C11:C15)</f>
        <v>143329696.54496175</v>
      </c>
      <c r="D10" s="193">
        <f>SUM(D11:D15)</f>
        <v>9176422.4921304863</v>
      </c>
      <c r="E10" s="193">
        <f>SUM(E11:E15)</f>
        <v>0</v>
      </c>
      <c r="F10" s="191">
        <f t="shared" si="0"/>
        <v>152506119.03709224</v>
      </c>
      <c r="G10" s="213"/>
      <c r="H10" s="190">
        <f>+H8-H9</f>
        <v>2.8896331787109375E-4</v>
      </c>
      <c r="I10" s="190"/>
      <c r="J10" s="526"/>
    </row>
    <row r="11" spans="1:10" ht="15.75" customHeight="1">
      <c r="A11" s="184" t="s">
        <v>296</v>
      </c>
      <c r="B11" s="184" t="s">
        <v>306</v>
      </c>
      <c r="C11" s="193">
        <f>+'[2]Detalle General + % aumento'!$B$7</f>
        <v>136688213.69398576</v>
      </c>
      <c r="D11" s="193">
        <f>+'[2]Detalle General + % aumento'!$B$8</f>
        <v>8427326.7784871813</v>
      </c>
      <c r="E11" s="193"/>
      <c r="F11" s="191">
        <f t="shared" si="0"/>
        <v>145115540.47247294</v>
      </c>
      <c r="G11" s="236"/>
      <c r="H11" s="213">
        <f>+'Distribucion Programas II '!R8</f>
        <v>54605996.4647035</v>
      </c>
      <c r="I11" s="190"/>
    </row>
    <row r="12" spans="1:10" ht="15.75" customHeight="1">
      <c r="A12" s="184" t="s">
        <v>297</v>
      </c>
      <c r="B12" s="184" t="s">
        <v>308</v>
      </c>
      <c r="C12" s="193"/>
      <c r="D12" s="193"/>
      <c r="E12" s="193"/>
      <c r="F12" s="191">
        <f t="shared" si="0"/>
        <v>0</v>
      </c>
      <c r="G12" s="190"/>
      <c r="H12" s="213"/>
      <c r="I12" s="190"/>
    </row>
    <row r="13" spans="1:10" ht="15.75" customHeight="1">
      <c r="A13" s="184" t="s">
        <v>298</v>
      </c>
      <c r="B13" s="184" t="s">
        <v>307</v>
      </c>
      <c r="C13" s="193">
        <v>0</v>
      </c>
      <c r="D13" s="193"/>
      <c r="E13" s="193"/>
      <c r="F13" s="191">
        <f t="shared" si="0"/>
        <v>0</v>
      </c>
      <c r="G13" s="190"/>
      <c r="H13" s="526"/>
      <c r="I13" s="190"/>
      <c r="J13" s="213"/>
    </row>
    <row r="14" spans="1:10" ht="15.75" customHeight="1">
      <c r="A14" s="184" t="s">
        <v>299</v>
      </c>
      <c r="B14" s="184" t="s">
        <v>309</v>
      </c>
      <c r="C14" s="193"/>
      <c r="D14" s="193"/>
      <c r="E14" s="193"/>
      <c r="F14" s="191">
        <f t="shared" si="0"/>
        <v>0</v>
      </c>
      <c r="G14" s="190"/>
      <c r="H14" s="260"/>
      <c r="I14" s="778"/>
    </row>
    <row r="15" spans="1:10" ht="15.75" customHeight="1">
      <c r="A15" s="184" t="s">
        <v>300</v>
      </c>
      <c r="B15" s="184" t="s">
        <v>310</v>
      </c>
      <c r="C15" s="193">
        <f>+'[2]Detalle General + % aumento'!$D$7</f>
        <v>6641482.8509759838</v>
      </c>
      <c r="D15" s="193">
        <f>+'[2]Detalle General + % aumento'!$D$8</f>
        <v>749095.713643305</v>
      </c>
      <c r="E15" s="193"/>
      <c r="F15" s="191">
        <f t="shared" si="0"/>
        <v>7390578.5646192888</v>
      </c>
      <c r="G15" s="213"/>
      <c r="H15" s="526"/>
      <c r="I15" s="778"/>
    </row>
    <row r="16" spans="1:10" ht="15.75" customHeight="1">
      <c r="A16" s="183"/>
      <c r="B16" s="186"/>
      <c r="C16" s="193"/>
      <c r="D16" s="193"/>
      <c r="E16" s="193"/>
      <c r="F16" s="191">
        <f t="shared" si="0"/>
        <v>0</v>
      </c>
      <c r="G16" s="190"/>
      <c r="H16" s="236"/>
      <c r="I16" s="778"/>
    </row>
    <row r="17" spans="1:9" ht="15.75" customHeight="1">
      <c r="A17" s="181" t="s">
        <v>220</v>
      </c>
      <c r="B17" s="181" t="s">
        <v>221</v>
      </c>
      <c r="C17" s="193">
        <f>SUM(C18:C22)</f>
        <v>16504000</v>
      </c>
      <c r="D17" s="193">
        <f>SUM(D18:D22)</f>
        <v>0</v>
      </c>
      <c r="E17" s="193">
        <f>SUM(E18:E22)</f>
        <v>0</v>
      </c>
      <c r="F17" s="191">
        <f t="shared" si="0"/>
        <v>16504000</v>
      </c>
      <c r="G17" s="190"/>
      <c r="I17" s="778"/>
    </row>
    <row r="18" spans="1:9" ht="15.75" customHeight="1">
      <c r="A18" s="184" t="s">
        <v>301</v>
      </c>
      <c r="B18" s="184" t="s">
        <v>902</v>
      </c>
      <c r="C18" s="193">
        <v>1000000</v>
      </c>
      <c r="D18" s="193"/>
      <c r="E18" s="193"/>
      <c r="F18" s="191">
        <f t="shared" si="0"/>
        <v>1000000</v>
      </c>
      <c r="G18" s="190"/>
    </row>
    <row r="19" spans="1:9" ht="15.75" customHeight="1">
      <c r="A19" s="184" t="s">
        <v>302</v>
      </c>
      <c r="B19" s="184" t="s">
        <v>903</v>
      </c>
      <c r="C19" s="193"/>
      <c r="D19" s="193"/>
      <c r="E19" s="193"/>
      <c r="F19" s="191">
        <f t="shared" si="0"/>
        <v>0</v>
      </c>
      <c r="G19" s="190"/>
      <c r="H19" s="190"/>
    </row>
    <row r="20" spans="1:9" ht="15.75" customHeight="1">
      <c r="A20" s="184" t="s">
        <v>303</v>
      </c>
      <c r="B20" s="184" t="s">
        <v>904</v>
      </c>
      <c r="C20" s="193"/>
      <c r="D20" s="193"/>
      <c r="E20" s="193"/>
      <c r="F20" s="191">
        <f t="shared" si="0"/>
        <v>0</v>
      </c>
      <c r="G20" s="213"/>
      <c r="H20" s="190"/>
    </row>
    <row r="21" spans="1:9" ht="15.75" customHeight="1">
      <c r="A21" s="184" t="s">
        <v>304</v>
      </c>
      <c r="B21" s="184" t="s">
        <v>905</v>
      </c>
      <c r="C21" s="193">
        <v>0</v>
      </c>
      <c r="D21" s="193"/>
      <c r="E21" s="193"/>
      <c r="F21" s="191">
        <f t="shared" si="0"/>
        <v>0</v>
      </c>
      <c r="H21" s="190"/>
    </row>
    <row r="22" spans="1:9" ht="15.75" customHeight="1">
      <c r="A22" s="184" t="s">
        <v>305</v>
      </c>
      <c r="B22" s="184" t="s">
        <v>906</v>
      </c>
      <c r="C22" s="193">
        <f>+'[3]Cuadro 7-Dietas'!$G$19</f>
        <v>15504000</v>
      </c>
      <c r="D22" s="193"/>
      <c r="E22" s="193"/>
      <c r="F22" s="191">
        <f t="shared" si="0"/>
        <v>15504000</v>
      </c>
      <c r="G22" s="213"/>
      <c r="H22" s="750"/>
      <c r="I22" s="750"/>
    </row>
    <row r="23" spans="1:9" ht="15.75" customHeight="1">
      <c r="A23" s="183"/>
      <c r="B23" s="186"/>
      <c r="C23" s="193"/>
      <c r="D23" s="193"/>
      <c r="E23" s="193"/>
      <c r="F23" s="191">
        <f t="shared" si="0"/>
        <v>0</v>
      </c>
      <c r="G23" s="213"/>
      <c r="H23" s="750"/>
      <c r="I23" s="750"/>
    </row>
    <row r="24" spans="1:9" ht="15.75" customHeight="1">
      <c r="A24" s="181" t="s">
        <v>222</v>
      </c>
      <c r="B24" s="181" t="s">
        <v>223</v>
      </c>
      <c r="C24" s="193">
        <f>SUM(C25:C29)</f>
        <v>110236500.90193339</v>
      </c>
      <c r="D24" s="193">
        <f>SUM(D25:D29)</f>
        <v>11832934.424604999</v>
      </c>
      <c r="E24" s="193">
        <f>SUM(E25:E29)</f>
        <v>0</v>
      </c>
      <c r="F24" s="191">
        <f t="shared" si="0"/>
        <v>122069435.32653838</v>
      </c>
      <c r="G24" s="213"/>
      <c r="H24" s="750"/>
      <c r="I24" s="750"/>
    </row>
    <row r="25" spans="1:9" ht="15.75" customHeight="1">
      <c r="A25" s="184" t="s">
        <v>311</v>
      </c>
      <c r="B25" s="184" t="s">
        <v>316</v>
      </c>
      <c r="C25" s="193">
        <f>+'[2]Detalle General + % aumento'!$E$7</f>
        <v>38706838.812658623</v>
      </c>
      <c r="D25" s="193">
        <f>+'[2]Detalle General + % aumento'!$E$8</f>
        <v>3270995.3759309142</v>
      </c>
      <c r="E25" s="193"/>
      <c r="F25" s="191">
        <f t="shared" si="0"/>
        <v>41977834.188589536</v>
      </c>
      <c r="I25" s="116"/>
    </row>
    <row r="26" spans="1:9" ht="15.75" customHeight="1">
      <c r="A26" s="184" t="s">
        <v>312</v>
      </c>
      <c r="B26" s="184" t="s">
        <v>317</v>
      </c>
      <c r="C26" s="193">
        <f>+'[2]Detalle General + % aumento'!$F$7</f>
        <v>34159307.380777292</v>
      </c>
      <c r="D26" s="193">
        <f>+'[2]Detalle General + % aumento'!$F$8</f>
        <v>5477762.4060166683</v>
      </c>
      <c r="E26" s="193"/>
      <c r="F26" s="191">
        <f t="shared" si="0"/>
        <v>39637069.786793962</v>
      </c>
      <c r="H26" s="750"/>
      <c r="I26" s="750"/>
    </row>
    <row r="27" spans="1:9" ht="15.75" customHeight="1">
      <c r="A27" s="184" t="s">
        <v>313</v>
      </c>
      <c r="B27" s="184" t="s">
        <v>318</v>
      </c>
      <c r="C27" s="193">
        <f>+(C11+C12+C13+C14+C15+C18+C19+C20+C21+C25+C26+C28)/12</f>
        <v>19582015.188222703</v>
      </c>
      <c r="D27" s="193">
        <f>+(D11+D12+D13+D14+D15+D18+D19+D20+D21+D25+D26+D28)/12</f>
        <v>1616104.3782104219</v>
      </c>
      <c r="E27" s="193">
        <f>(+E11+E12+E13+E14+E15+E18+E19+E25)</f>
        <v>0</v>
      </c>
      <c r="F27" s="191">
        <f t="shared" si="0"/>
        <v>21198119.566433124</v>
      </c>
      <c r="H27" s="750"/>
    </row>
    <row r="28" spans="1:9" ht="15.75" customHeight="1">
      <c r="A28" s="184" t="s">
        <v>314</v>
      </c>
      <c r="B28" s="184" t="s">
        <v>319</v>
      </c>
      <c r="C28" s="193">
        <f>(+C11+C12+C13+C14+C15+C18+C25+C26+C29)*8.19%</f>
        <v>17788339.52027477</v>
      </c>
      <c r="D28" s="193">
        <f>(+D11+D12+D13+D14+D15+D18+D25+D26+D29)*8.19%</f>
        <v>1468072.2644469941</v>
      </c>
      <c r="E28" s="193"/>
      <c r="F28" s="191">
        <f t="shared" si="0"/>
        <v>19256411.784721762</v>
      </c>
      <c r="H28" s="750"/>
      <c r="I28" s="751"/>
    </row>
    <row r="29" spans="1:9" ht="15.75" customHeight="1">
      <c r="A29" s="184" t="s">
        <v>315</v>
      </c>
      <c r="B29" s="184" t="s">
        <v>320</v>
      </c>
      <c r="C29" s="193">
        <v>0</v>
      </c>
      <c r="D29" s="193"/>
      <c r="E29" s="193"/>
      <c r="F29" s="191">
        <f t="shared" si="0"/>
        <v>0</v>
      </c>
      <c r="H29" s="750"/>
    </row>
    <row r="30" spans="1:9" ht="15.75" customHeight="1">
      <c r="A30" s="184"/>
      <c r="B30" s="184"/>
      <c r="C30" s="193"/>
      <c r="D30" s="193"/>
      <c r="E30" s="193"/>
      <c r="F30" s="191">
        <f t="shared" si="0"/>
        <v>0</v>
      </c>
    </row>
    <row r="31" spans="1:9" ht="15.75" customHeight="1">
      <c r="A31" s="183" t="s">
        <v>224</v>
      </c>
      <c r="B31" s="186"/>
      <c r="C31" s="193"/>
      <c r="D31" s="193"/>
      <c r="E31" s="193"/>
      <c r="F31" s="191">
        <f t="shared" si="0"/>
        <v>0</v>
      </c>
    </row>
    <row r="32" spans="1:9" ht="30" customHeight="1">
      <c r="A32" s="181" t="s">
        <v>321</v>
      </c>
      <c r="B32" s="284" t="s">
        <v>346</v>
      </c>
      <c r="C32" s="193">
        <f>SUM(C33:C37)</f>
        <v>22910957.770220559</v>
      </c>
      <c r="D32" s="193">
        <f>SUM(D33:D37)</f>
        <v>1890842.1225061938</v>
      </c>
      <c r="E32" s="193">
        <f>SUM(E33:E37)</f>
        <v>0</v>
      </c>
      <c r="F32" s="191">
        <f t="shared" si="0"/>
        <v>24801799.892726753</v>
      </c>
      <c r="G32" s="213"/>
    </row>
    <row r="33" spans="1:8" ht="30.75" customHeight="1">
      <c r="A33" s="184" t="s">
        <v>322</v>
      </c>
      <c r="B33" s="184" t="s">
        <v>443</v>
      </c>
      <c r="C33" s="193">
        <f>(+C11+C12+C13+C14+C15+C18+C25+C26+C28)*9.25%</f>
        <v>21736036.858927198</v>
      </c>
      <c r="D33" s="193">
        <f>(+D11+D12+D13+D14+D15+D18+D25+D26+D28)*9.25%</f>
        <v>1793875.8598135684</v>
      </c>
      <c r="E33" s="193"/>
      <c r="F33" s="191">
        <f t="shared" si="0"/>
        <v>23529912.718740765</v>
      </c>
      <c r="G33" s="190"/>
    </row>
    <row r="34" spans="1:8" ht="15.75" customHeight="1">
      <c r="A34" s="184" t="s">
        <v>323</v>
      </c>
      <c r="B34" s="184" t="s">
        <v>444</v>
      </c>
      <c r="C34" s="193"/>
      <c r="D34" s="193"/>
      <c r="E34" s="193"/>
      <c r="F34" s="191">
        <f t="shared" si="0"/>
        <v>0</v>
      </c>
      <c r="G34" s="190"/>
    </row>
    <row r="35" spans="1:8" ht="15.75" customHeight="1">
      <c r="A35" s="184" t="s">
        <v>324</v>
      </c>
      <c r="B35" s="184" t="s">
        <v>445</v>
      </c>
      <c r="C35" s="193"/>
      <c r="D35" s="193"/>
      <c r="E35" s="193"/>
      <c r="F35" s="191">
        <f t="shared" si="0"/>
        <v>0</v>
      </c>
      <c r="G35" s="190"/>
    </row>
    <row r="36" spans="1:8" ht="15.75" customHeight="1">
      <c r="A36" s="184" t="s">
        <v>325</v>
      </c>
      <c r="B36" s="184" t="s">
        <v>446</v>
      </c>
      <c r="C36" s="193"/>
      <c r="D36" s="193"/>
      <c r="E36" s="193"/>
      <c r="F36" s="191">
        <f t="shared" si="0"/>
        <v>0</v>
      </c>
      <c r="G36" s="190"/>
    </row>
    <row r="37" spans="1:8" ht="15.75" customHeight="1">
      <c r="A37" s="184" t="s">
        <v>326</v>
      </c>
      <c r="B37" s="184" t="s">
        <v>447</v>
      </c>
      <c r="C37" s="193">
        <f>+(C11+C12+C13+C14+C15+C18+C25+C26+C28)*0.5%</f>
        <v>1174920.911293362</v>
      </c>
      <c r="D37" s="193">
        <f>+(D11+D12+D13+D14+D15+D18+D25+D26+D28)*0.5%</f>
        <v>96966.262692625314</v>
      </c>
      <c r="E37" s="193">
        <f>(+E11+E12+E13+E14+E15+E18+E19+E20+E25+E26)*0.5%</f>
        <v>0</v>
      </c>
      <c r="F37" s="191">
        <f t="shared" si="0"/>
        <v>1271887.1739859874</v>
      </c>
      <c r="G37" s="190"/>
    </row>
    <row r="38" spans="1:8" ht="15.75" customHeight="1">
      <c r="A38" s="188"/>
      <c r="B38" s="188"/>
      <c r="C38" s="193"/>
      <c r="D38" s="193"/>
      <c r="E38" s="193"/>
      <c r="F38" s="191">
        <f t="shared" si="0"/>
        <v>0</v>
      </c>
      <c r="G38" s="190"/>
    </row>
    <row r="39" spans="1:8" ht="15.75" customHeight="1">
      <c r="A39" s="188" t="s">
        <v>224</v>
      </c>
      <c r="B39" s="188"/>
      <c r="C39" s="193"/>
      <c r="D39" s="193"/>
      <c r="E39" s="193"/>
      <c r="F39" s="191">
        <f t="shared" si="0"/>
        <v>0</v>
      </c>
    </row>
    <row r="40" spans="1:8" ht="26.25" customHeight="1">
      <c r="A40" s="286" t="s">
        <v>327</v>
      </c>
      <c r="B40" s="284" t="s">
        <v>980</v>
      </c>
      <c r="C40" s="237">
        <f>SUM(C41:C46)</f>
        <v>22910957.770220559</v>
      </c>
      <c r="D40" s="237">
        <f>SUM(D41:D45)</f>
        <v>1890842.1225061934</v>
      </c>
      <c r="E40" s="287">
        <f>SUM(E41:E45)</f>
        <v>0</v>
      </c>
      <c r="F40" s="191">
        <f>SUM(C40:E40)</f>
        <v>24801799.892726753</v>
      </c>
    </row>
    <row r="41" spans="1:8" ht="33.75" customHeight="1">
      <c r="A41" s="203" t="s">
        <v>329</v>
      </c>
      <c r="B41" s="203" t="s">
        <v>342</v>
      </c>
      <c r="C41" s="205">
        <f>+(C11+C12+C13+C14+C15+C18+C25+C26+C28+C29)*5.25%</f>
        <v>12336669.568580301</v>
      </c>
      <c r="D41" s="205">
        <f>+(D11+D12+D13+D14+D15+D18+D25+D26+D28+D29)*5.25%</f>
        <v>1018145.7582725658</v>
      </c>
      <c r="E41" s="205"/>
      <c r="F41" s="191">
        <f t="shared" si="0"/>
        <v>13354815.326852867</v>
      </c>
    </row>
    <row r="42" spans="1:8" ht="15.75" customHeight="1">
      <c r="A42" s="184" t="s">
        <v>330</v>
      </c>
      <c r="B42" s="184" t="s">
        <v>343</v>
      </c>
      <c r="C42" s="193">
        <f>+(C11+C12+C13+C14+C15+C18+C25+C26+C28)*1.5%</f>
        <v>3524762.7338800863</v>
      </c>
      <c r="D42" s="193">
        <f>+(D11+D12+D13+D14+D15+D18+D25+D26+D28)*1.5%</f>
        <v>290898.78807787591</v>
      </c>
      <c r="E42" s="193" t="s">
        <v>1106</v>
      </c>
      <c r="F42" s="191">
        <f>+C42+D42</f>
        <v>3815661.5219579623</v>
      </c>
      <c r="G42" s="190"/>
      <c r="H42" s="213"/>
    </row>
    <row r="43" spans="1:8" ht="15.75" customHeight="1">
      <c r="A43" s="184" t="s">
        <v>331</v>
      </c>
      <c r="B43" s="184" t="s">
        <v>341</v>
      </c>
      <c r="C43" s="193">
        <f>+(C11+C12+C13+C14+C15+C18+C25+C26+C28)*3%</f>
        <v>7049525.4677601727</v>
      </c>
      <c r="D43" s="193">
        <f>+(D11+D12+D13+D14+D15+D18+D25+D26+D28)*3%</f>
        <v>581797.57615575183</v>
      </c>
      <c r="E43" s="193"/>
      <c r="F43" s="191">
        <f t="shared" si="0"/>
        <v>7631323.0439159246</v>
      </c>
      <c r="G43" s="190"/>
      <c r="H43" s="526"/>
    </row>
    <row r="44" spans="1:8" ht="15.75" customHeight="1">
      <c r="A44" s="184" t="s">
        <v>332</v>
      </c>
      <c r="B44" s="184" t="s">
        <v>344</v>
      </c>
      <c r="C44" s="193"/>
      <c r="D44" s="193"/>
      <c r="E44" s="193"/>
      <c r="F44" s="191">
        <f t="shared" si="0"/>
        <v>0</v>
      </c>
    </row>
    <row r="45" spans="1:8" ht="15.75" customHeight="1">
      <c r="A45" s="188" t="s">
        <v>333</v>
      </c>
      <c r="B45" s="188" t="s">
        <v>345</v>
      </c>
      <c r="C45" s="285"/>
      <c r="D45" s="285"/>
      <c r="E45" s="285"/>
      <c r="F45" s="191">
        <f t="shared" si="0"/>
        <v>0</v>
      </c>
    </row>
    <row r="46" spans="1:8" ht="15.75" customHeight="1">
      <c r="A46" s="312"/>
      <c r="B46" s="312"/>
      <c r="C46" s="309"/>
      <c r="D46" s="309"/>
      <c r="E46" s="309"/>
      <c r="F46" s="191">
        <f t="shared" si="0"/>
        <v>0</v>
      </c>
    </row>
    <row r="47" spans="1:8" ht="15.75" customHeight="1">
      <c r="A47" s="189" t="s">
        <v>335</v>
      </c>
      <c r="B47" s="189" t="s">
        <v>334</v>
      </c>
      <c r="C47" s="205">
        <f>SUM(C48:C49)</f>
        <v>0</v>
      </c>
      <c r="D47" s="205">
        <f>SUM(D48:D49)</f>
        <v>0</v>
      </c>
      <c r="E47" s="205">
        <f>SUM(E48:E49)</f>
        <v>0</v>
      </c>
      <c r="F47" s="191">
        <f t="shared" si="0"/>
        <v>0</v>
      </c>
      <c r="H47" s="526"/>
    </row>
    <row r="48" spans="1:8" ht="15.75" customHeight="1">
      <c r="A48" s="184" t="s">
        <v>337</v>
      </c>
      <c r="B48" s="184" t="s">
        <v>339</v>
      </c>
      <c r="C48" s="193"/>
      <c r="D48" s="193"/>
      <c r="E48" s="193"/>
      <c r="F48" s="191">
        <f t="shared" si="0"/>
        <v>0</v>
      </c>
      <c r="H48" s="213"/>
    </row>
    <row r="49" spans="1:8" ht="15.75" customHeight="1">
      <c r="A49" s="184" t="s">
        <v>338</v>
      </c>
      <c r="B49" s="184" t="s">
        <v>340</v>
      </c>
      <c r="C49" s="193"/>
      <c r="D49" s="193"/>
      <c r="E49" s="193"/>
      <c r="F49" s="191">
        <f t="shared" si="0"/>
        <v>0</v>
      </c>
      <c r="H49" s="213"/>
    </row>
    <row r="50" spans="1:8" ht="15.75" customHeight="1">
      <c r="A50" s="183"/>
      <c r="B50" s="186"/>
      <c r="C50" s="193"/>
      <c r="D50" s="193"/>
      <c r="E50" s="193"/>
      <c r="F50" s="191">
        <f t="shared" si="0"/>
        <v>0</v>
      </c>
    </row>
    <row r="51" spans="1:8" ht="15.75" customHeight="1">
      <c r="A51" s="185">
        <v>1</v>
      </c>
      <c r="B51" s="187" t="s">
        <v>448</v>
      </c>
      <c r="C51" s="193">
        <f>+C52+C59+C66+C75+C84+C90+C95+C100+C111+C117</f>
        <v>14534826.004845396</v>
      </c>
      <c r="D51" s="193">
        <f>+D52+D59+D66+D75+D84+D90+D95+D100+D111+D117</f>
        <v>363325.77792377572</v>
      </c>
      <c r="E51" s="193">
        <f>+E52+E59+E66+E75+E84+E90+E95+E100+E111+E117</f>
        <v>0</v>
      </c>
      <c r="F51" s="191">
        <f t="shared" si="0"/>
        <v>14898151.782769172</v>
      </c>
      <c r="H51" s="526"/>
    </row>
    <row r="52" spans="1:8" ht="15.75" customHeight="1">
      <c r="A52" s="181" t="s">
        <v>226</v>
      </c>
      <c r="B52" s="181" t="s">
        <v>973</v>
      </c>
      <c r="C52" s="193">
        <f>SUM(C53:C57)</f>
        <v>0</v>
      </c>
      <c r="D52" s="193">
        <f>SUM(D53:D57)</f>
        <v>0</v>
      </c>
      <c r="E52" s="193">
        <f>SUM(E53:E57)</f>
        <v>0</v>
      </c>
      <c r="F52" s="191">
        <f t="shared" si="0"/>
        <v>0</v>
      </c>
      <c r="H52" s="213"/>
    </row>
    <row r="53" spans="1:8" ht="15.75" customHeight="1">
      <c r="A53" s="184" t="s">
        <v>449</v>
      </c>
      <c r="B53" s="184" t="s">
        <v>454</v>
      </c>
      <c r="C53" s="193">
        <v>0</v>
      </c>
      <c r="D53" s="193"/>
      <c r="E53" s="193"/>
      <c r="F53" s="191">
        <f t="shared" si="0"/>
        <v>0</v>
      </c>
      <c r="H53" s="526"/>
    </row>
    <row r="54" spans="1:8" ht="15.75" customHeight="1">
      <c r="A54" s="184" t="s">
        <v>450</v>
      </c>
      <c r="B54" s="184" t="s">
        <v>455</v>
      </c>
      <c r="C54" s="193"/>
      <c r="D54" s="193"/>
      <c r="E54" s="193"/>
      <c r="F54" s="191">
        <f t="shared" si="0"/>
        <v>0</v>
      </c>
      <c r="H54" s="236"/>
    </row>
    <row r="55" spans="1:8" ht="15.75" customHeight="1">
      <c r="A55" s="184" t="s">
        <v>451</v>
      </c>
      <c r="B55" s="184" t="s">
        <v>456</v>
      </c>
      <c r="C55" s="193"/>
      <c r="D55" s="193"/>
      <c r="E55" s="193"/>
      <c r="F55" s="191">
        <f t="shared" si="0"/>
        <v>0</v>
      </c>
    </row>
    <row r="56" spans="1:8" ht="15.75" customHeight="1">
      <c r="A56" s="184" t="s">
        <v>452</v>
      </c>
      <c r="B56" s="184" t="s">
        <v>457</v>
      </c>
      <c r="C56" s="193"/>
      <c r="D56" s="193"/>
      <c r="E56" s="193"/>
      <c r="F56" s="191">
        <f t="shared" si="0"/>
        <v>0</v>
      </c>
      <c r="H56" s="526"/>
    </row>
    <row r="57" spans="1:8" ht="15.75" customHeight="1">
      <c r="A57" s="184" t="s">
        <v>453</v>
      </c>
      <c r="B57" s="184" t="s">
        <v>458</v>
      </c>
      <c r="C57" s="193"/>
      <c r="D57" s="193"/>
      <c r="E57" s="193"/>
      <c r="F57" s="191">
        <f t="shared" si="0"/>
        <v>0</v>
      </c>
    </row>
    <row r="58" spans="1:8" ht="15.75" customHeight="1">
      <c r="A58" s="183"/>
      <c r="B58" s="186"/>
      <c r="C58" s="193"/>
      <c r="D58" s="193"/>
      <c r="E58" s="193"/>
      <c r="F58" s="191">
        <f t="shared" si="0"/>
        <v>0</v>
      </c>
    </row>
    <row r="59" spans="1:8" ht="15.75" customHeight="1">
      <c r="A59" s="181" t="s">
        <v>227</v>
      </c>
      <c r="B59" s="181" t="s">
        <v>228</v>
      </c>
      <c r="C59" s="193">
        <f>SUM(C60:C64)</f>
        <v>3050000</v>
      </c>
      <c r="D59" s="193">
        <f>SUM(D60:D64)</f>
        <v>0</v>
      </c>
      <c r="E59" s="193">
        <f>SUM(E60:E64)</f>
        <v>0</v>
      </c>
      <c r="F59" s="191">
        <f t="shared" si="0"/>
        <v>3050000</v>
      </c>
    </row>
    <row r="60" spans="1:8" ht="15.75" customHeight="1">
      <c r="A60" s="184" t="s">
        <v>459</v>
      </c>
      <c r="B60" s="184" t="s">
        <v>464</v>
      </c>
      <c r="C60" s="193">
        <v>1000000</v>
      </c>
      <c r="D60" s="193">
        <v>0</v>
      </c>
      <c r="E60" s="193"/>
      <c r="F60" s="191">
        <f t="shared" si="0"/>
        <v>1000000</v>
      </c>
    </row>
    <row r="61" spans="1:8" ht="15.75" customHeight="1">
      <c r="A61" s="184" t="s">
        <v>460</v>
      </c>
      <c r="B61" s="184" t="s">
        <v>465</v>
      </c>
      <c r="C61" s="193">
        <v>1000000</v>
      </c>
      <c r="D61" s="193">
        <v>0</v>
      </c>
      <c r="E61" s="193"/>
      <c r="F61" s="191">
        <f t="shared" si="0"/>
        <v>1000000</v>
      </c>
    </row>
    <row r="62" spans="1:8" ht="15.75" customHeight="1">
      <c r="A62" s="184" t="s">
        <v>461</v>
      </c>
      <c r="B62" s="184" t="s">
        <v>466</v>
      </c>
      <c r="C62" s="193">
        <v>50000</v>
      </c>
      <c r="D62" s="193">
        <f>+D61*10%</f>
        <v>0</v>
      </c>
      <c r="E62" s="193"/>
      <c r="F62" s="191">
        <f t="shared" si="0"/>
        <v>50000</v>
      </c>
    </row>
    <row r="63" spans="1:8" ht="15.75" customHeight="1">
      <c r="A63" s="184" t="s">
        <v>462</v>
      </c>
      <c r="B63" s="184" t="s">
        <v>467</v>
      </c>
      <c r="C63" s="193">
        <v>1000000</v>
      </c>
      <c r="D63" s="193">
        <v>0</v>
      </c>
      <c r="E63" s="193"/>
      <c r="F63" s="191">
        <f t="shared" si="0"/>
        <v>1000000</v>
      </c>
    </row>
    <row r="64" spans="1:8" ht="15.75" customHeight="1">
      <c r="A64" s="188" t="s">
        <v>463</v>
      </c>
      <c r="B64" s="188" t="s">
        <v>468</v>
      </c>
      <c r="C64" s="285">
        <v>0</v>
      </c>
      <c r="D64" s="285">
        <f>+D63*12</f>
        <v>0</v>
      </c>
      <c r="E64" s="285"/>
      <c r="F64" s="191">
        <f t="shared" si="0"/>
        <v>0</v>
      </c>
    </row>
    <row r="65" spans="1:6" ht="15.75" customHeight="1">
      <c r="A65" s="310"/>
      <c r="B65" s="308"/>
      <c r="C65" s="309"/>
      <c r="D65" s="309"/>
      <c r="E65" s="309"/>
      <c r="F65" s="191">
        <f t="shared" si="0"/>
        <v>0</v>
      </c>
    </row>
    <row r="66" spans="1:6" ht="15.75" customHeight="1">
      <c r="A66" s="189" t="s">
        <v>229</v>
      </c>
      <c r="B66" s="189" t="s">
        <v>230</v>
      </c>
      <c r="C66" s="205">
        <f>SUM(C67:C73)</f>
        <v>0</v>
      </c>
      <c r="D66" s="205">
        <f>SUM(D67:D73)</f>
        <v>50000</v>
      </c>
      <c r="E66" s="205">
        <f>SUM(E67:E73)</f>
        <v>0</v>
      </c>
      <c r="F66" s="191">
        <f t="shared" si="0"/>
        <v>50000</v>
      </c>
    </row>
    <row r="67" spans="1:6" ht="15.75" customHeight="1">
      <c r="A67" s="184" t="s">
        <v>469</v>
      </c>
      <c r="B67" s="184" t="s">
        <v>475</v>
      </c>
      <c r="C67" s="193">
        <v>0</v>
      </c>
      <c r="D67" s="193"/>
      <c r="E67" s="193"/>
      <c r="F67" s="191">
        <f t="shared" si="0"/>
        <v>0</v>
      </c>
    </row>
    <row r="68" spans="1:6" ht="15.75" customHeight="1">
      <c r="A68" s="184" t="s">
        <v>470</v>
      </c>
      <c r="B68" s="184" t="s">
        <v>476</v>
      </c>
      <c r="C68" s="193">
        <v>0</v>
      </c>
      <c r="D68" s="193"/>
      <c r="E68" s="193"/>
      <c r="F68" s="191">
        <f t="shared" si="0"/>
        <v>0</v>
      </c>
    </row>
    <row r="69" spans="1:6" ht="15.75" customHeight="1">
      <c r="A69" s="184" t="s">
        <v>471</v>
      </c>
      <c r="B69" s="184" t="s">
        <v>477</v>
      </c>
      <c r="C69" s="193"/>
      <c r="D69" s="193">
        <v>50000</v>
      </c>
      <c r="E69" s="193"/>
      <c r="F69" s="191">
        <f t="shared" si="0"/>
        <v>50000</v>
      </c>
    </row>
    <row r="70" spans="1:6" ht="15.75" customHeight="1">
      <c r="A70" s="184" t="s">
        <v>472</v>
      </c>
      <c r="B70" s="184" t="s">
        <v>478</v>
      </c>
      <c r="C70" s="193"/>
      <c r="D70" s="193"/>
      <c r="E70" s="193"/>
      <c r="F70" s="191">
        <f t="shared" si="0"/>
        <v>0</v>
      </c>
    </row>
    <row r="71" spans="1:6" ht="15.75" customHeight="1">
      <c r="A71" s="184" t="s">
        <v>473</v>
      </c>
      <c r="B71" s="184" t="s">
        <v>479</v>
      </c>
      <c r="C71" s="193"/>
      <c r="D71" s="193"/>
      <c r="E71" s="193"/>
      <c r="F71" s="191">
        <f t="shared" si="0"/>
        <v>0</v>
      </c>
    </row>
    <row r="72" spans="1:6" ht="15.75" customHeight="1">
      <c r="A72" s="184" t="s">
        <v>474</v>
      </c>
      <c r="B72" s="184" t="s">
        <v>482</v>
      </c>
      <c r="C72" s="193"/>
      <c r="D72" s="193"/>
      <c r="E72" s="193"/>
      <c r="F72" s="191">
        <f t="shared" si="0"/>
        <v>0</v>
      </c>
    </row>
    <row r="73" spans="1:6" ht="15.75" customHeight="1">
      <c r="A73" s="184" t="s">
        <v>484</v>
      </c>
      <c r="B73" s="184" t="s">
        <v>483</v>
      </c>
      <c r="C73" s="193">
        <v>0</v>
      </c>
      <c r="D73" s="193"/>
      <c r="E73" s="193"/>
      <c r="F73" s="191">
        <f t="shared" ref="F73:F136" si="1">+C73+D73+E73</f>
        <v>0</v>
      </c>
    </row>
    <row r="74" spans="1:6" ht="15.75" customHeight="1">
      <c r="A74" s="184"/>
      <c r="B74" s="184"/>
      <c r="C74" s="193"/>
      <c r="D74" s="193"/>
      <c r="E74" s="193"/>
      <c r="F74" s="191">
        <f t="shared" si="1"/>
        <v>0</v>
      </c>
    </row>
    <row r="75" spans="1:6" ht="15.75" customHeight="1">
      <c r="A75" s="181" t="s">
        <v>231</v>
      </c>
      <c r="B75" s="181" t="s">
        <v>232</v>
      </c>
      <c r="C75" s="193">
        <f>SUM(C76:C82)</f>
        <v>1000000</v>
      </c>
      <c r="D75" s="193">
        <f>SUM(D76:D82)</f>
        <v>0</v>
      </c>
      <c r="E75" s="193">
        <f>SUM(E76:E82)</f>
        <v>0</v>
      </c>
      <c r="F75" s="191">
        <f t="shared" si="1"/>
        <v>1000000</v>
      </c>
    </row>
    <row r="76" spans="1:6" ht="15.75" customHeight="1">
      <c r="A76" s="184" t="s">
        <v>485</v>
      </c>
      <c r="B76" s="184" t="s">
        <v>492</v>
      </c>
      <c r="C76" s="193"/>
      <c r="D76" s="193"/>
      <c r="E76" s="193"/>
      <c r="F76" s="191">
        <f t="shared" si="1"/>
        <v>0</v>
      </c>
    </row>
    <row r="77" spans="1:6" ht="15.75" customHeight="1">
      <c r="A77" s="184" t="s">
        <v>486</v>
      </c>
      <c r="B77" s="184" t="s">
        <v>493</v>
      </c>
      <c r="C77" s="193">
        <v>1000000</v>
      </c>
      <c r="D77" s="193"/>
      <c r="E77" s="193"/>
      <c r="F77" s="191">
        <f t="shared" si="1"/>
        <v>1000000</v>
      </c>
    </row>
    <row r="78" spans="1:6" ht="15.75" customHeight="1">
      <c r="A78" s="184" t="s">
        <v>487</v>
      </c>
      <c r="B78" s="184" t="s">
        <v>494</v>
      </c>
      <c r="C78" s="193"/>
      <c r="D78" s="193"/>
      <c r="E78" s="193"/>
      <c r="F78" s="191">
        <f t="shared" si="1"/>
        <v>0</v>
      </c>
    </row>
    <row r="79" spans="1:6" ht="15.75" customHeight="1">
      <c r="A79" s="184" t="s">
        <v>488</v>
      </c>
      <c r="B79" s="184" t="s">
        <v>495</v>
      </c>
      <c r="C79" s="193"/>
      <c r="D79" s="193"/>
      <c r="E79" s="193"/>
      <c r="F79" s="191">
        <f t="shared" si="1"/>
        <v>0</v>
      </c>
    </row>
    <row r="80" spans="1:6" ht="15.75" customHeight="1">
      <c r="A80" s="184" t="s">
        <v>489</v>
      </c>
      <c r="B80" s="184" t="s">
        <v>496</v>
      </c>
      <c r="C80" s="193"/>
      <c r="D80" s="193"/>
      <c r="E80" s="193"/>
      <c r="F80" s="191">
        <f t="shared" si="1"/>
        <v>0</v>
      </c>
    </row>
    <row r="81" spans="1:9" ht="15.75" customHeight="1">
      <c r="A81" s="184" t="s">
        <v>490</v>
      </c>
      <c r="B81" s="184" t="s">
        <v>497</v>
      </c>
      <c r="C81" s="193"/>
      <c r="D81" s="193"/>
      <c r="E81" s="193"/>
      <c r="F81" s="191">
        <f t="shared" si="1"/>
        <v>0</v>
      </c>
    </row>
    <row r="82" spans="1:9" ht="15.75" customHeight="1">
      <c r="A82" s="184" t="s">
        <v>491</v>
      </c>
      <c r="B82" s="184" t="s">
        <v>498</v>
      </c>
      <c r="C82" s="193">
        <v>0</v>
      </c>
      <c r="D82" s="193"/>
      <c r="E82" s="193"/>
      <c r="F82" s="191">
        <f t="shared" si="1"/>
        <v>0</v>
      </c>
    </row>
    <row r="83" spans="1:9" ht="15.75" customHeight="1">
      <c r="A83" s="183"/>
      <c r="B83" s="186"/>
      <c r="C83" s="193"/>
      <c r="D83" s="193"/>
      <c r="E83" s="193"/>
      <c r="F83" s="191">
        <f t="shared" si="1"/>
        <v>0</v>
      </c>
    </row>
    <row r="84" spans="1:9" ht="15.75" customHeight="1">
      <c r="A84" s="181" t="s">
        <v>233</v>
      </c>
      <c r="B84" s="181" t="s">
        <v>234</v>
      </c>
      <c r="C84" s="193">
        <f>SUM(C85:C88)</f>
        <v>6500000</v>
      </c>
      <c r="D84" s="193">
        <f>SUM(D85:D88)</f>
        <v>100000</v>
      </c>
      <c r="E84" s="193">
        <f>SUM(E85:E88)</f>
        <v>0</v>
      </c>
      <c r="F84" s="191">
        <f t="shared" si="1"/>
        <v>6600000</v>
      </c>
    </row>
    <row r="85" spans="1:9" ht="15.75" customHeight="1">
      <c r="A85" s="184" t="s">
        <v>499</v>
      </c>
      <c r="B85" s="184" t="s">
        <v>503</v>
      </c>
      <c r="C85" s="193">
        <v>2000000</v>
      </c>
      <c r="D85" s="193"/>
      <c r="E85" s="193"/>
      <c r="F85" s="191">
        <f t="shared" si="1"/>
        <v>2000000</v>
      </c>
    </row>
    <row r="86" spans="1:9" ht="15.75" customHeight="1">
      <c r="A86" s="184" t="s">
        <v>500</v>
      </c>
      <c r="B86" s="184" t="s">
        <v>504</v>
      </c>
      <c r="C86" s="193">
        <v>4500000</v>
      </c>
      <c r="D86" s="193">
        <v>100000</v>
      </c>
      <c r="E86" s="193"/>
      <c r="F86" s="191">
        <f t="shared" si="1"/>
        <v>4600000</v>
      </c>
    </row>
    <row r="87" spans="1:9" ht="15.75" customHeight="1">
      <c r="A87" s="184" t="s">
        <v>501</v>
      </c>
      <c r="B87" s="184" t="s">
        <v>505</v>
      </c>
      <c r="C87" s="193"/>
      <c r="D87" s="193"/>
      <c r="E87" s="193"/>
      <c r="F87" s="191">
        <f t="shared" si="1"/>
        <v>0</v>
      </c>
    </row>
    <row r="88" spans="1:9" ht="15.75" customHeight="1">
      <c r="A88" s="184" t="s">
        <v>502</v>
      </c>
      <c r="B88" s="184" t="s">
        <v>506</v>
      </c>
      <c r="C88" s="193"/>
      <c r="D88" s="193"/>
      <c r="E88" s="193"/>
      <c r="F88" s="191">
        <f t="shared" si="1"/>
        <v>0</v>
      </c>
    </row>
    <row r="89" spans="1:9" ht="15.75" customHeight="1">
      <c r="A89" s="183"/>
      <c r="B89" s="186"/>
      <c r="C89" s="193"/>
      <c r="D89" s="193"/>
      <c r="E89" s="193"/>
      <c r="F89" s="191">
        <f t="shared" si="1"/>
        <v>0</v>
      </c>
    </row>
    <row r="90" spans="1:9" ht="15.75" customHeight="1">
      <c r="A90" s="189" t="s">
        <v>235</v>
      </c>
      <c r="B90" s="189" t="s">
        <v>236</v>
      </c>
      <c r="C90" s="205">
        <f>SUM(C91:C93)</f>
        <v>3384826.0048453966</v>
      </c>
      <c r="D90" s="205">
        <f>SUM(D91:D93)</f>
        <v>213325.77792377572</v>
      </c>
      <c r="E90" s="205">
        <f>SUM(E91:E93)</f>
        <v>0</v>
      </c>
      <c r="F90" s="191">
        <f t="shared" si="1"/>
        <v>3598151.7827691725</v>
      </c>
    </row>
    <row r="91" spans="1:9" ht="15.75" customHeight="1">
      <c r="A91" s="184" t="s">
        <v>507</v>
      </c>
      <c r="B91" s="184" t="s">
        <v>512</v>
      </c>
      <c r="C91" s="193">
        <f>+((C11+C15+C18+C25+C26+C28)*1.1%)+300000+250000+250000</f>
        <v>3384826.0048453966</v>
      </c>
      <c r="D91" s="193">
        <f>+(D11+D15+D18+D25+D26+D28)*1.1%</f>
        <v>213325.77792377572</v>
      </c>
      <c r="E91" s="193"/>
      <c r="F91" s="191">
        <f t="shared" si="1"/>
        <v>3598151.7827691725</v>
      </c>
      <c r="G91" s="213"/>
      <c r="I91" s="116" t="s">
        <v>72</v>
      </c>
    </row>
    <row r="92" spans="1:9" ht="15.75" customHeight="1">
      <c r="A92" s="184" t="s">
        <v>508</v>
      </c>
      <c r="B92" s="184" t="s">
        <v>513</v>
      </c>
      <c r="C92" s="193"/>
      <c r="D92" s="193"/>
      <c r="E92" s="193"/>
      <c r="F92" s="191">
        <f t="shared" si="1"/>
        <v>0</v>
      </c>
    </row>
    <row r="93" spans="1:9" ht="15.75" customHeight="1">
      <c r="A93" s="188" t="s">
        <v>511</v>
      </c>
      <c r="B93" s="355" t="s">
        <v>514</v>
      </c>
      <c r="C93" s="320"/>
      <c r="D93" s="285"/>
      <c r="E93" s="307"/>
      <c r="F93" s="191">
        <f t="shared" si="1"/>
        <v>0</v>
      </c>
    </row>
    <row r="94" spans="1:9" ht="15.75" customHeight="1">
      <c r="A94" s="356"/>
      <c r="B94" s="308"/>
      <c r="C94" s="309"/>
      <c r="D94" s="205"/>
      <c r="E94" s="309"/>
      <c r="F94" s="191">
        <f t="shared" si="1"/>
        <v>0</v>
      </c>
    </row>
    <row r="95" spans="1:9" ht="15.75" customHeight="1">
      <c r="A95" s="189" t="s">
        <v>238</v>
      </c>
      <c r="B95" s="189" t="s">
        <v>239</v>
      </c>
      <c r="C95" s="205">
        <f>SUM(C96:C98)</f>
        <v>0</v>
      </c>
      <c r="D95" s="205">
        <f>SUM(D96:D98)</f>
        <v>0</v>
      </c>
      <c r="E95" s="205">
        <f>SUM(E96:E98)</f>
        <v>0</v>
      </c>
      <c r="F95" s="191">
        <f t="shared" si="1"/>
        <v>0</v>
      </c>
    </row>
    <row r="96" spans="1:9" ht="15.75" customHeight="1">
      <c r="A96" s="184" t="s">
        <v>515</v>
      </c>
      <c r="B96" s="184" t="s">
        <v>518</v>
      </c>
      <c r="C96" s="193">
        <v>0</v>
      </c>
      <c r="D96" s="193">
        <v>0</v>
      </c>
      <c r="E96" s="193"/>
      <c r="F96" s="191">
        <f t="shared" si="1"/>
        <v>0</v>
      </c>
    </row>
    <row r="97" spans="1:6" ht="15.75" customHeight="1">
      <c r="A97" s="184" t="s">
        <v>516</v>
      </c>
      <c r="B97" s="184" t="s">
        <v>519</v>
      </c>
      <c r="C97" s="193">
        <v>0</v>
      </c>
      <c r="D97" s="193"/>
      <c r="E97" s="193"/>
      <c r="F97" s="191">
        <f t="shared" si="1"/>
        <v>0</v>
      </c>
    </row>
    <row r="98" spans="1:6" ht="15.75" customHeight="1">
      <c r="A98" s="184" t="s">
        <v>517</v>
      </c>
      <c r="B98" s="184" t="s">
        <v>520</v>
      </c>
      <c r="C98" s="193">
        <v>0</v>
      </c>
      <c r="D98" s="193"/>
      <c r="E98" s="193"/>
      <c r="F98" s="191">
        <f t="shared" si="1"/>
        <v>0</v>
      </c>
    </row>
    <row r="99" spans="1:6" ht="15.75" customHeight="1">
      <c r="A99" s="183"/>
      <c r="B99" s="186"/>
      <c r="C99" s="193"/>
      <c r="D99" s="193"/>
      <c r="E99" s="193"/>
      <c r="F99" s="191">
        <f t="shared" si="1"/>
        <v>0</v>
      </c>
    </row>
    <row r="100" spans="1:6" ht="15.75" customHeight="1">
      <c r="A100" s="181" t="s">
        <v>240</v>
      </c>
      <c r="B100" s="181" t="s">
        <v>241</v>
      </c>
      <c r="C100" s="193">
        <f>SUM(C101:C109)</f>
        <v>0</v>
      </c>
      <c r="D100" s="193">
        <f>SUM(D101:D109)</f>
        <v>0</v>
      </c>
      <c r="E100" s="193">
        <f>SUM(E101:E109)</f>
        <v>0</v>
      </c>
      <c r="F100" s="191">
        <f t="shared" si="1"/>
        <v>0</v>
      </c>
    </row>
    <row r="101" spans="1:6" ht="15.75" customHeight="1">
      <c r="A101" s="184" t="s">
        <v>521</v>
      </c>
      <c r="B101" s="184" t="s">
        <v>530</v>
      </c>
      <c r="C101" s="193">
        <v>0</v>
      </c>
      <c r="D101" s="193"/>
      <c r="E101" s="193"/>
      <c r="F101" s="191">
        <f t="shared" si="1"/>
        <v>0</v>
      </c>
    </row>
    <row r="102" spans="1:6" ht="15.75" customHeight="1">
      <c r="A102" s="184" t="s">
        <v>522</v>
      </c>
      <c r="B102" s="184" t="s">
        <v>531</v>
      </c>
      <c r="C102" s="711"/>
      <c r="D102" s="193"/>
      <c r="E102" s="193"/>
      <c r="F102" s="191">
        <f t="shared" si="1"/>
        <v>0</v>
      </c>
    </row>
    <row r="103" spans="1:6" ht="15.75" customHeight="1">
      <c r="A103" s="184" t="s">
        <v>523</v>
      </c>
      <c r="B103" s="184" t="s">
        <v>532</v>
      </c>
      <c r="C103" s="193"/>
      <c r="D103" s="193"/>
      <c r="E103" s="193"/>
      <c r="F103" s="191">
        <f t="shared" si="1"/>
        <v>0</v>
      </c>
    </row>
    <row r="104" spans="1:6" ht="15.75" customHeight="1">
      <c r="A104" s="184" t="s">
        <v>524</v>
      </c>
      <c r="B104" s="184" t="s">
        <v>534</v>
      </c>
      <c r="C104" s="193"/>
      <c r="D104" s="193"/>
      <c r="E104" s="193"/>
      <c r="F104" s="191">
        <f t="shared" si="1"/>
        <v>0</v>
      </c>
    </row>
    <row r="105" spans="1:6" ht="15.75" customHeight="1">
      <c r="A105" s="184" t="s">
        <v>525</v>
      </c>
      <c r="B105" s="184" t="s">
        <v>533</v>
      </c>
      <c r="C105" s="193">
        <v>0</v>
      </c>
      <c r="D105" s="193"/>
      <c r="E105" s="193"/>
      <c r="F105" s="191">
        <f t="shared" si="1"/>
        <v>0</v>
      </c>
    </row>
    <row r="106" spans="1:6" ht="15.75" customHeight="1">
      <c r="A106" s="184" t="s">
        <v>526</v>
      </c>
      <c r="B106" s="184" t="s">
        <v>538</v>
      </c>
      <c r="C106" s="193"/>
      <c r="D106" s="193"/>
      <c r="E106" s="193"/>
      <c r="F106" s="191">
        <f t="shared" si="1"/>
        <v>0</v>
      </c>
    </row>
    <row r="107" spans="1:6" ht="15.75" customHeight="1">
      <c r="A107" s="184" t="s">
        <v>527</v>
      </c>
      <c r="B107" s="184" t="s">
        <v>535</v>
      </c>
      <c r="C107" s="193">
        <v>0</v>
      </c>
      <c r="D107" s="193"/>
      <c r="E107" s="193"/>
      <c r="F107" s="191">
        <f t="shared" si="1"/>
        <v>0</v>
      </c>
    </row>
    <row r="108" spans="1:6" ht="26.25" customHeight="1">
      <c r="A108" s="184" t="s">
        <v>528</v>
      </c>
      <c r="B108" s="184" t="s">
        <v>536</v>
      </c>
      <c r="C108" s="193">
        <v>0</v>
      </c>
      <c r="D108" s="193"/>
      <c r="E108" s="193"/>
      <c r="F108" s="191">
        <f t="shared" si="1"/>
        <v>0</v>
      </c>
    </row>
    <row r="109" spans="1:6" ht="15.75" customHeight="1">
      <c r="A109" s="184" t="s">
        <v>529</v>
      </c>
      <c r="B109" s="184" t="s">
        <v>537</v>
      </c>
      <c r="C109" s="193"/>
      <c r="D109" s="193"/>
      <c r="E109" s="193"/>
      <c r="F109" s="191">
        <f t="shared" si="1"/>
        <v>0</v>
      </c>
    </row>
    <row r="110" spans="1:6" ht="15.75" customHeight="1">
      <c r="A110" s="183"/>
      <c r="B110" s="186"/>
      <c r="C110" s="193"/>
      <c r="D110" s="193"/>
      <c r="E110" s="193"/>
      <c r="F110" s="191">
        <f t="shared" si="1"/>
        <v>0</v>
      </c>
    </row>
    <row r="111" spans="1:6" ht="15.75" customHeight="1">
      <c r="A111" s="181" t="s">
        <v>242</v>
      </c>
      <c r="B111" s="181" t="s">
        <v>243</v>
      </c>
      <c r="C111" s="193">
        <f>SUM(C112:C115)</f>
        <v>100000</v>
      </c>
      <c r="D111" s="193">
        <f>SUM(D112:D115)</f>
        <v>0</v>
      </c>
      <c r="E111" s="193">
        <f>SUM(E112:E115)</f>
        <v>0</v>
      </c>
      <c r="F111" s="191">
        <f t="shared" si="1"/>
        <v>100000</v>
      </c>
    </row>
    <row r="112" spans="1:6" ht="15.75" customHeight="1">
      <c r="A112" s="184" t="s">
        <v>539</v>
      </c>
      <c r="B112" s="184" t="s">
        <v>543</v>
      </c>
      <c r="C112" s="193"/>
      <c r="D112" s="193"/>
      <c r="E112" s="193"/>
      <c r="F112" s="191">
        <f t="shared" si="1"/>
        <v>0</v>
      </c>
    </row>
    <row r="113" spans="1:6" ht="15.75" customHeight="1">
      <c r="A113" s="184" t="s">
        <v>540</v>
      </c>
      <c r="B113" s="184" t="s">
        <v>544</v>
      </c>
      <c r="C113" s="193"/>
      <c r="D113" s="193"/>
      <c r="E113" s="193"/>
      <c r="F113" s="191">
        <f t="shared" si="1"/>
        <v>0</v>
      </c>
    </row>
    <row r="114" spans="1:6" ht="15.75" customHeight="1">
      <c r="A114" s="184" t="s">
        <v>541</v>
      </c>
      <c r="B114" s="184" t="s">
        <v>545</v>
      </c>
      <c r="C114" s="193"/>
      <c r="D114" s="193"/>
      <c r="E114" s="193"/>
      <c r="F114" s="191">
        <f t="shared" si="1"/>
        <v>0</v>
      </c>
    </row>
    <row r="115" spans="1:6" ht="15.75" customHeight="1">
      <c r="A115" s="184" t="s">
        <v>542</v>
      </c>
      <c r="B115" s="184" t="s">
        <v>546</v>
      </c>
      <c r="C115" s="193">
        <v>100000</v>
      </c>
      <c r="D115" s="193"/>
      <c r="E115" s="193"/>
      <c r="F115" s="191">
        <f t="shared" si="1"/>
        <v>100000</v>
      </c>
    </row>
    <row r="116" spans="1:6" ht="15.75" customHeight="1">
      <c r="A116" s="183"/>
      <c r="B116" s="186"/>
      <c r="C116" s="193"/>
      <c r="D116" s="193"/>
      <c r="E116" s="193"/>
      <c r="F116" s="191">
        <f t="shared" si="1"/>
        <v>0</v>
      </c>
    </row>
    <row r="117" spans="1:6" ht="15.75" customHeight="1">
      <c r="A117" s="181" t="s">
        <v>244</v>
      </c>
      <c r="B117" s="181" t="s">
        <v>245</v>
      </c>
      <c r="C117" s="193">
        <f>SUM(C118:C123)</f>
        <v>500000</v>
      </c>
      <c r="D117" s="193">
        <f>SUM(D118:D123)</f>
        <v>0</v>
      </c>
      <c r="E117" s="193">
        <f>SUM(E118:E123)</f>
        <v>0</v>
      </c>
      <c r="F117" s="191">
        <f t="shared" si="1"/>
        <v>500000</v>
      </c>
    </row>
    <row r="118" spans="1:6" ht="15.75" customHeight="1">
      <c r="A118" s="184" t="s">
        <v>547</v>
      </c>
      <c r="B118" s="184" t="s">
        <v>555</v>
      </c>
      <c r="C118" s="193"/>
      <c r="D118" s="193"/>
      <c r="E118" s="193"/>
      <c r="F118" s="191">
        <f t="shared" si="1"/>
        <v>0</v>
      </c>
    </row>
    <row r="119" spans="1:6" ht="15.75" customHeight="1">
      <c r="A119" s="184" t="s">
        <v>549</v>
      </c>
      <c r="B119" s="184" t="s">
        <v>556</v>
      </c>
      <c r="C119" s="193"/>
      <c r="D119" s="193"/>
      <c r="E119" s="193"/>
      <c r="F119" s="191">
        <f t="shared" si="1"/>
        <v>0</v>
      </c>
    </row>
    <row r="120" spans="1:6" ht="15.75" customHeight="1">
      <c r="A120" s="184" t="s">
        <v>550</v>
      </c>
      <c r="B120" s="184" t="s">
        <v>557</v>
      </c>
      <c r="C120" s="193"/>
      <c r="D120" s="193"/>
      <c r="E120" s="193"/>
      <c r="F120" s="191">
        <f t="shared" si="1"/>
        <v>0</v>
      </c>
    </row>
    <row r="121" spans="1:6" ht="15.75" customHeight="1">
      <c r="A121" s="184" t="s">
        <v>551</v>
      </c>
      <c r="B121" s="184" t="s">
        <v>558</v>
      </c>
      <c r="C121" s="193"/>
      <c r="D121" s="193"/>
      <c r="E121" s="193"/>
      <c r="F121" s="191">
        <f t="shared" si="1"/>
        <v>0</v>
      </c>
    </row>
    <row r="122" spans="1:6" ht="15.75" customHeight="1">
      <c r="A122" s="184" t="s">
        <v>552</v>
      </c>
      <c r="B122" s="184" t="s">
        <v>559</v>
      </c>
      <c r="C122" s="193">
        <v>500000</v>
      </c>
      <c r="D122" s="193"/>
      <c r="E122" s="193"/>
      <c r="F122" s="191">
        <f t="shared" si="1"/>
        <v>500000</v>
      </c>
    </row>
    <row r="123" spans="1:6" ht="15.75" customHeight="1">
      <c r="A123" s="184" t="s">
        <v>553</v>
      </c>
      <c r="B123" s="184" t="s">
        <v>560</v>
      </c>
      <c r="C123" s="193"/>
      <c r="D123" s="193"/>
      <c r="E123" s="193"/>
      <c r="F123" s="191">
        <f t="shared" si="1"/>
        <v>0</v>
      </c>
    </row>
    <row r="124" spans="1:6" ht="15.75" customHeight="1">
      <c r="A124" s="183"/>
      <c r="B124" s="186"/>
      <c r="C124" s="193"/>
      <c r="D124" s="193"/>
      <c r="E124" s="193"/>
      <c r="F124" s="191">
        <f t="shared" si="1"/>
        <v>0</v>
      </c>
    </row>
    <row r="125" spans="1:6" ht="15.75" customHeight="1">
      <c r="A125" s="181">
        <v>2</v>
      </c>
      <c r="B125" s="181" t="s">
        <v>561</v>
      </c>
      <c r="C125" s="193">
        <f>+C126+C133+C140+C149+C153+C159</f>
        <v>4003306.6</v>
      </c>
      <c r="D125" s="193">
        <f>+D126+D133+D140+D149+D153+D159</f>
        <v>350000</v>
      </c>
      <c r="E125" s="193">
        <f>+E126+E133+E140+E149+E153+E159</f>
        <v>0</v>
      </c>
      <c r="F125" s="191">
        <f t="shared" si="1"/>
        <v>4353306.5999999996</v>
      </c>
    </row>
    <row r="126" spans="1:6" ht="15.75" customHeight="1">
      <c r="A126" s="181" t="s">
        <v>246</v>
      </c>
      <c r="B126" s="181" t="s">
        <v>247</v>
      </c>
      <c r="C126" s="193">
        <f>SUM(C127:C131)</f>
        <v>1000000</v>
      </c>
      <c r="D126" s="193">
        <f>SUM(D127:D131)</f>
        <v>150000</v>
      </c>
      <c r="E126" s="193">
        <f>SUM(E127:E131)</f>
        <v>0</v>
      </c>
      <c r="F126" s="191">
        <f t="shared" si="1"/>
        <v>1150000</v>
      </c>
    </row>
    <row r="127" spans="1:6" ht="15.75" customHeight="1">
      <c r="A127" s="184" t="s">
        <v>562</v>
      </c>
      <c r="B127" s="184" t="s">
        <v>581</v>
      </c>
      <c r="C127" s="193">
        <v>500000</v>
      </c>
      <c r="D127" s="193">
        <v>0</v>
      </c>
      <c r="E127" s="193"/>
      <c r="F127" s="191">
        <f t="shared" si="1"/>
        <v>500000</v>
      </c>
    </row>
    <row r="128" spans="1:6" ht="15.75" customHeight="1">
      <c r="A128" s="184" t="s">
        <v>563</v>
      </c>
      <c r="B128" s="184" t="s">
        <v>582</v>
      </c>
      <c r="C128" s="193"/>
      <c r="D128" s="193"/>
      <c r="E128" s="193"/>
      <c r="F128" s="191">
        <f t="shared" si="1"/>
        <v>0</v>
      </c>
    </row>
    <row r="129" spans="1:9" ht="15.75" customHeight="1">
      <c r="A129" s="184" t="s">
        <v>564</v>
      </c>
      <c r="B129" s="184" t="s">
        <v>583</v>
      </c>
      <c r="C129" s="193"/>
      <c r="D129" s="193"/>
      <c r="E129" s="193"/>
      <c r="F129" s="191">
        <f t="shared" si="1"/>
        <v>0</v>
      </c>
    </row>
    <row r="130" spans="1:9" ht="15.75" customHeight="1">
      <c r="A130" s="184" t="s">
        <v>579</v>
      </c>
      <c r="B130" s="184" t="s">
        <v>584</v>
      </c>
      <c r="C130" s="193">
        <v>500000</v>
      </c>
      <c r="D130" s="193">
        <v>150000</v>
      </c>
      <c r="E130" s="193"/>
      <c r="F130" s="191">
        <f t="shared" si="1"/>
        <v>650000</v>
      </c>
    </row>
    <row r="131" spans="1:9" ht="15.75" customHeight="1">
      <c r="A131" s="184" t="s">
        <v>580</v>
      </c>
      <c r="B131" s="184" t="s">
        <v>585</v>
      </c>
      <c r="C131" s="193"/>
      <c r="D131" s="193"/>
      <c r="E131" s="193"/>
      <c r="F131" s="191">
        <f t="shared" si="1"/>
        <v>0</v>
      </c>
    </row>
    <row r="132" spans="1:9" ht="15.75" customHeight="1">
      <c r="A132" s="184"/>
      <c r="B132" s="184"/>
      <c r="C132" s="193"/>
      <c r="D132" s="193"/>
      <c r="E132" s="193"/>
      <c r="F132" s="191">
        <f t="shared" si="1"/>
        <v>0</v>
      </c>
    </row>
    <row r="133" spans="1:9" ht="15.75" customHeight="1">
      <c r="A133" s="189" t="s">
        <v>248</v>
      </c>
      <c r="B133" s="189" t="s">
        <v>249</v>
      </c>
      <c r="C133" s="205">
        <f>SUM(C134:C137)</f>
        <v>500000</v>
      </c>
      <c r="D133" s="205">
        <f>SUM(D134:D137)</f>
        <v>0</v>
      </c>
      <c r="E133" s="205">
        <f>SUM(E134:E137)</f>
        <v>0</v>
      </c>
      <c r="F133" s="191">
        <f t="shared" si="1"/>
        <v>500000</v>
      </c>
    </row>
    <row r="134" spans="1:9" ht="15.75" customHeight="1">
      <c r="A134" s="184" t="s">
        <v>590</v>
      </c>
      <c r="B134" s="184" t="s">
        <v>586</v>
      </c>
      <c r="C134" s="193"/>
      <c r="D134" s="193"/>
      <c r="E134" s="193"/>
      <c r="F134" s="191">
        <f t="shared" si="1"/>
        <v>0</v>
      </c>
    </row>
    <row r="135" spans="1:9" ht="15.75" customHeight="1">
      <c r="A135" s="184" t="s">
        <v>591</v>
      </c>
      <c r="B135" s="184" t="s">
        <v>587</v>
      </c>
      <c r="C135" s="193">
        <v>0</v>
      </c>
      <c r="D135" s="193"/>
      <c r="E135" s="193"/>
      <c r="F135" s="191">
        <f t="shared" si="1"/>
        <v>0</v>
      </c>
      <c r="I135" s="526"/>
    </row>
    <row r="136" spans="1:9" ht="15.75" customHeight="1">
      <c r="A136" s="184" t="s">
        <v>592</v>
      </c>
      <c r="B136" s="184" t="s">
        <v>588</v>
      </c>
      <c r="C136" s="193">
        <v>500000</v>
      </c>
      <c r="D136" s="193"/>
      <c r="E136" s="193"/>
      <c r="F136" s="191">
        <f t="shared" si="1"/>
        <v>500000</v>
      </c>
      <c r="H136" s="526"/>
    </row>
    <row r="137" spans="1:9" ht="15.75" customHeight="1">
      <c r="A137" s="184" t="s">
        <v>593</v>
      </c>
      <c r="B137" s="184" t="s">
        <v>589</v>
      </c>
      <c r="C137" s="193"/>
      <c r="D137" s="193"/>
      <c r="E137" s="193"/>
      <c r="F137" s="191">
        <f t="shared" ref="F137:F200" si="2">+C137+D137+E137</f>
        <v>0</v>
      </c>
    </row>
    <row r="138" spans="1:9" ht="15.75" customHeight="1">
      <c r="A138" s="183"/>
      <c r="B138" s="186"/>
      <c r="C138" s="193"/>
      <c r="D138" s="193"/>
      <c r="E138" s="193"/>
      <c r="F138" s="191">
        <f t="shared" si="2"/>
        <v>0</v>
      </c>
    </row>
    <row r="139" spans="1:9" ht="15.75" customHeight="1">
      <c r="A139" s="183"/>
      <c r="B139" s="186"/>
      <c r="C139" s="193"/>
      <c r="D139" s="193"/>
      <c r="E139" s="193"/>
      <c r="F139" s="191">
        <f t="shared" si="2"/>
        <v>0</v>
      </c>
    </row>
    <row r="140" spans="1:9" ht="31.5" customHeight="1">
      <c r="A140" s="181" t="s">
        <v>594</v>
      </c>
      <c r="B140" s="181" t="s">
        <v>595</v>
      </c>
      <c r="C140" s="193">
        <f>SUM(C141:C147)</f>
        <v>0</v>
      </c>
      <c r="D140" s="193">
        <f>SUM(D141:D147)</f>
        <v>0</v>
      </c>
      <c r="E140" s="193">
        <f>SUM(E141:E147)</f>
        <v>0</v>
      </c>
      <c r="F140" s="191">
        <f t="shared" si="2"/>
        <v>0</v>
      </c>
    </row>
    <row r="141" spans="1:9" ht="15.75" customHeight="1">
      <c r="A141" s="184" t="s">
        <v>596</v>
      </c>
      <c r="B141" s="184" t="s">
        <v>603</v>
      </c>
      <c r="C141" s="193">
        <v>0</v>
      </c>
      <c r="D141" s="193">
        <v>0</v>
      </c>
      <c r="E141" s="193"/>
      <c r="F141" s="191">
        <f t="shared" si="2"/>
        <v>0</v>
      </c>
    </row>
    <row r="142" spans="1:9" ht="15.75" customHeight="1">
      <c r="A142" s="184" t="s">
        <v>597</v>
      </c>
      <c r="B142" s="184" t="s">
        <v>604</v>
      </c>
      <c r="C142" s="393">
        <v>0</v>
      </c>
      <c r="D142" s="193"/>
      <c r="E142" s="193"/>
      <c r="F142" s="191">
        <f t="shared" si="2"/>
        <v>0</v>
      </c>
    </row>
    <row r="143" spans="1:9" ht="15.75" customHeight="1">
      <c r="A143" s="188" t="s">
        <v>598</v>
      </c>
      <c r="B143" s="188" t="s">
        <v>605</v>
      </c>
      <c r="C143" s="285">
        <v>0</v>
      </c>
      <c r="D143" s="285"/>
      <c r="E143" s="285"/>
      <c r="F143" s="191">
        <f t="shared" si="2"/>
        <v>0</v>
      </c>
    </row>
    <row r="144" spans="1:9" ht="15.75" customHeight="1">
      <c r="A144" s="203" t="s">
        <v>599</v>
      </c>
      <c r="B144" s="203" t="s">
        <v>606</v>
      </c>
      <c r="C144" s="205">
        <v>0</v>
      </c>
      <c r="D144" s="205"/>
      <c r="E144" s="205"/>
      <c r="F144" s="191">
        <f t="shared" si="2"/>
        <v>0</v>
      </c>
    </row>
    <row r="145" spans="1:6" ht="15.75" customHeight="1">
      <c r="A145" s="184" t="s">
        <v>600</v>
      </c>
      <c r="B145" s="184" t="s">
        <v>607</v>
      </c>
      <c r="C145" s="193">
        <v>0</v>
      </c>
      <c r="D145" s="193"/>
      <c r="E145" s="193"/>
      <c r="F145" s="191">
        <f t="shared" si="2"/>
        <v>0</v>
      </c>
    </row>
    <row r="146" spans="1:6" ht="15.75" customHeight="1">
      <c r="A146" s="184" t="s">
        <v>601</v>
      </c>
      <c r="B146" s="184" t="s">
        <v>608</v>
      </c>
      <c r="C146" s="193">
        <v>0</v>
      </c>
      <c r="D146" s="193"/>
      <c r="E146" s="193"/>
      <c r="F146" s="191">
        <f t="shared" si="2"/>
        <v>0</v>
      </c>
    </row>
    <row r="147" spans="1:6" ht="15.75" customHeight="1">
      <c r="A147" s="184" t="s">
        <v>602</v>
      </c>
      <c r="B147" s="184" t="s">
        <v>609</v>
      </c>
      <c r="C147" s="193">
        <v>0</v>
      </c>
      <c r="D147" s="193"/>
      <c r="E147" s="193"/>
      <c r="F147" s="191">
        <f t="shared" si="2"/>
        <v>0</v>
      </c>
    </row>
    <row r="148" spans="1:6" ht="15.75" customHeight="1">
      <c r="A148" s="183"/>
      <c r="B148" s="186"/>
      <c r="C148" s="193">
        <v>0</v>
      </c>
      <c r="D148" s="193"/>
      <c r="E148" s="193"/>
      <c r="F148" s="191">
        <f t="shared" si="2"/>
        <v>0</v>
      </c>
    </row>
    <row r="149" spans="1:6" ht="15.75" customHeight="1">
      <c r="A149" s="181" t="s">
        <v>250</v>
      </c>
      <c r="B149" s="181" t="s">
        <v>251</v>
      </c>
      <c r="C149" s="193">
        <f>SUM(C150:C151)</f>
        <v>200000</v>
      </c>
      <c r="D149" s="193">
        <f>SUM(D150:D151)</f>
        <v>0</v>
      </c>
      <c r="E149" s="193">
        <f>SUM(E150:E151)</f>
        <v>0</v>
      </c>
      <c r="F149" s="191">
        <f t="shared" si="2"/>
        <v>200000</v>
      </c>
    </row>
    <row r="150" spans="1:6" ht="15.75" customHeight="1">
      <c r="A150" s="184" t="s">
        <v>610</v>
      </c>
      <c r="B150" s="184" t="s">
        <v>612</v>
      </c>
      <c r="C150" s="193">
        <v>100000</v>
      </c>
      <c r="D150" s="193"/>
      <c r="E150" s="193"/>
      <c r="F150" s="191">
        <f t="shared" si="2"/>
        <v>100000</v>
      </c>
    </row>
    <row r="151" spans="1:6" ht="15.75" customHeight="1">
      <c r="A151" s="184" t="s">
        <v>611</v>
      </c>
      <c r="B151" s="184" t="s">
        <v>613</v>
      </c>
      <c r="C151" s="193">
        <v>100000</v>
      </c>
      <c r="D151" s="193"/>
      <c r="E151" s="193"/>
      <c r="F151" s="191">
        <f t="shared" si="2"/>
        <v>100000</v>
      </c>
    </row>
    <row r="152" spans="1:6" ht="15.75" customHeight="1">
      <c r="A152" s="183"/>
      <c r="B152" s="186"/>
      <c r="C152" s="193"/>
      <c r="D152" s="193"/>
      <c r="E152" s="193"/>
      <c r="F152" s="191">
        <f t="shared" si="2"/>
        <v>0</v>
      </c>
    </row>
    <row r="153" spans="1:6" ht="15.75" customHeight="1">
      <c r="A153" s="181" t="s">
        <v>614</v>
      </c>
      <c r="B153" s="181" t="s">
        <v>615</v>
      </c>
      <c r="C153" s="193">
        <f>SUM(C154:C157)</f>
        <v>0</v>
      </c>
      <c r="D153" s="193">
        <f>SUM(D154:D157)</f>
        <v>0</v>
      </c>
      <c r="E153" s="193">
        <f>SUM(E154:E157)</f>
        <v>0</v>
      </c>
      <c r="F153" s="191">
        <f t="shared" si="2"/>
        <v>0</v>
      </c>
    </row>
    <row r="154" spans="1:6" ht="15.75" customHeight="1">
      <c r="A154" s="184" t="s">
        <v>616</v>
      </c>
      <c r="B154" s="184" t="s">
        <v>620</v>
      </c>
      <c r="C154" s="193"/>
      <c r="D154" s="193"/>
      <c r="E154" s="193"/>
      <c r="F154" s="191">
        <f t="shared" si="2"/>
        <v>0</v>
      </c>
    </row>
    <row r="155" spans="1:6" ht="15.75" customHeight="1">
      <c r="A155" s="184" t="s">
        <v>617</v>
      </c>
      <c r="B155" s="184" t="s">
        <v>621</v>
      </c>
      <c r="C155" s="193"/>
      <c r="D155" s="193"/>
      <c r="E155" s="193"/>
      <c r="F155" s="191">
        <f t="shared" si="2"/>
        <v>0</v>
      </c>
    </row>
    <row r="156" spans="1:6" ht="15.75" customHeight="1">
      <c r="A156" s="184" t="s">
        <v>618</v>
      </c>
      <c r="B156" s="184" t="s">
        <v>622</v>
      </c>
      <c r="C156" s="193"/>
      <c r="D156" s="193"/>
      <c r="E156" s="193"/>
      <c r="F156" s="191">
        <f t="shared" si="2"/>
        <v>0</v>
      </c>
    </row>
    <row r="157" spans="1:6" ht="15.75" customHeight="1">
      <c r="A157" s="184" t="s">
        <v>619</v>
      </c>
      <c r="B157" s="184" t="s">
        <v>623</v>
      </c>
      <c r="C157" s="193"/>
      <c r="D157" s="193"/>
      <c r="E157" s="193"/>
      <c r="F157" s="191">
        <f t="shared" si="2"/>
        <v>0</v>
      </c>
    </row>
    <row r="158" spans="1:6" ht="15.75" customHeight="1">
      <c r="A158" s="183"/>
      <c r="B158" s="186"/>
      <c r="C158" s="193"/>
      <c r="D158" s="193"/>
      <c r="E158" s="193"/>
      <c r="F158" s="191">
        <f t="shared" si="2"/>
        <v>0</v>
      </c>
    </row>
    <row r="159" spans="1:6" ht="15.75" customHeight="1">
      <c r="A159" s="181" t="s">
        <v>252</v>
      </c>
      <c r="B159" s="181" t="s">
        <v>253</v>
      </c>
      <c r="C159" s="193">
        <f>SUM(C160:C167)</f>
        <v>2303306.6</v>
      </c>
      <c r="D159" s="193">
        <f>SUM(D160:D167)</f>
        <v>200000</v>
      </c>
      <c r="E159" s="193">
        <f>SUM(E160:E167)</f>
        <v>0</v>
      </c>
      <c r="F159" s="191">
        <f t="shared" si="2"/>
        <v>2503306.6</v>
      </c>
    </row>
    <row r="160" spans="1:6" ht="15.75" customHeight="1">
      <c r="A160" s="184" t="s">
        <v>624</v>
      </c>
      <c r="B160" s="184" t="s">
        <v>434</v>
      </c>
      <c r="C160" s="193">
        <v>500000</v>
      </c>
      <c r="D160" s="193">
        <v>100000</v>
      </c>
      <c r="E160" s="193"/>
      <c r="F160" s="191">
        <f t="shared" si="2"/>
        <v>600000</v>
      </c>
    </row>
    <row r="161" spans="1:6" ht="15.75" customHeight="1">
      <c r="A161" s="184" t="s">
        <v>625</v>
      </c>
      <c r="B161" s="184" t="s">
        <v>435</v>
      </c>
      <c r="C161" s="193"/>
      <c r="D161" s="193">
        <v>0</v>
      </c>
      <c r="E161" s="193"/>
      <c r="F161" s="191">
        <f t="shared" si="2"/>
        <v>0</v>
      </c>
    </row>
    <row r="162" spans="1:6" ht="15.75" customHeight="1">
      <c r="A162" s="184" t="s">
        <v>626</v>
      </c>
      <c r="B162" s="184" t="s">
        <v>436</v>
      </c>
      <c r="C162" s="193">
        <v>500000</v>
      </c>
      <c r="D162" s="193">
        <v>100000</v>
      </c>
      <c r="E162" s="193"/>
      <c r="F162" s="191">
        <f t="shared" si="2"/>
        <v>600000</v>
      </c>
    </row>
    <row r="163" spans="1:6" ht="15.75" customHeight="1">
      <c r="A163" s="184" t="s">
        <v>627</v>
      </c>
      <c r="B163" s="184" t="s">
        <v>437</v>
      </c>
      <c r="C163" s="193">
        <v>479986.6</v>
      </c>
      <c r="D163" s="193"/>
      <c r="E163" s="193"/>
      <c r="F163" s="191">
        <f t="shared" si="2"/>
        <v>479986.6</v>
      </c>
    </row>
    <row r="164" spans="1:6" ht="15.75" customHeight="1">
      <c r="A164" s="184" t="s">
        <v>628</v>
      </c>
      <c r="B164" s="184" t="s">
        <v>438</v>
      </c>
      <c r="C164" s="193">
        <v>500000</v>
      </c>
      <c r="D164" s="193"/>
      <c r="E164" s="193"/>
      <c r="F164" s="191">
        <f t="shared" si="2"/>
        <v>500000</v>
      </c>
    </row>
    <row r="165" spans="1:6" ht="15.75" customHeight="1">
      <c r="A165" s="184" t="s">
        <v>629</v>
      </c>
      <c r="B165" s="184" t="s">
        <v>439</v>
      </c>
      <c r="C165" s="193">
        <v>323320</v>
      </c>
      <c r="D165" s="193"/>
      <c r="E165" s="193"/>
      <c r="F165" s="191">
        <f t="shared" si="2"/>
        <v>323320</v>
      </c>
    </row>
    <row r="166" spans="1:6" ht="15.75" customHeight="1">
      <c r="A166" s="184" t="s">
        <v>630</v>
      </c>
      <c r="B166" s="184" t="s">
        <v>440</v>
      </c>
      <c r="C166" s="193">
        <v>0</v>
      </c>
      <c r="D166" s="193"/>
      <c r="E166" s="193"/>
      <c r="F166" s="191">
        <f t="shared" si="2"/>
        <v>0</v>
      </c>
    </row>
    <row r="167" spans="1:6" ht="15.75" customHeight="1">
      <c r="A167" s="184" t="s">
        <v>631</v>
      </c>
      <c r="B167" s="184" t="s">
        <v>441</v>
      </c>
      <c r="C167" s="193">
        <v>0</v>
      </c>
      <c r="D167" s="193"/>
      <c r="E167" s="193"/>
      <c r="F167" s="191">
        <f t="shared" si="2"/>
        <v>0</v>
      </c>
    </row>
    <row r="168" spans="1:6" ht="15.75" customHeight="1">
      <c r="A168" s="183"/>
      <c r="B168" s="186"/>
      <c r="C168" s="193"/>
      <c r="D168" s="193"/>
      <c r="E168" s="193"/>
      <c r="F168" s="191">
        <f t="shared" si="2"/>
        <v>0</v>
      </c>
    </row>
    <row r="169" spans="1:6" ht="15.75" customHeight="1">
      <c r="A169" s="181">
        <v>3</v>
      </c>
      <c r="B169" s="181" t="s">
        <v>193</v>
      </c>
      <c r="C169" s="193">
        <f>+C170+C176+C186+C190</f>
        <v>2069949.5399999998</v>
      </c>
      <c r="D169" s="193">
        <f>+D170+D176+D186+D190</f>
        <v>0</v>
      </c>
      <c r="E169" s="193">
        <f>+E170+E176+E186+E190</f>
        <v>0</v>
      </c>
      <c r="F169" s="191">
        <f t="shared" si="2"/>
        <v>2069949.5399999998</v>
      </c>
    </row>
    <row r="170" spans="1:6" ht="15.75" customHeight="1">
      <c r="A170" s="181" t="s">
        <v>254</v>
      </c>
      <c r="B170" s="181" t="s">
        <v>255</v>
      </c>
      <c r="C170" s="193">
        <f>SUM(C171:C174)</f>
        <v>0</v>
      </c>
      <c r="D170" s="193">
        <f>SUM(D171:D174)</f>
        <v>0</v>
      </c>
      <c r="E170" s="193">
        <f>SUM(E171:E174)</f>
        <v>0</v>
      </c>
      <c r="F170" s="191">
        <f t="shared" si="2"/>
        <v>0</v>
      </c>
    </row>
    <row r="171" spans="1:6" ht="15.75" customHeight="1">
      <c r="A171" s="184" t="s">
        <v>632</v>
      </c>
      <c r="B171" s="184" t="s">
        <v>636</v>
      </c>
      <c r="C171" s="193"/>
      <c r="D171" s="193"/>
      <c r="E171" s="193"/>
      <c r="F171" s="191">
        <f t="shared" si="2"/>
        <v>0</v>
      </c>
    </row>
    <row r="172" spans="1:6" ht="15.75" customHeight="1">
      <c r="A172" s="184" t="s">
        <v>633</v>
      </c>
      <c r="B172" s="184" t="s">
        <v>637</v>
      </c>
      <c r="C172" s="193"/>
      <c r="D172" s="193"/>
      <c r="E172" s="193"/>
      <c r="F172" s="191">
        <f t="shared" si="2"/>
        <v>0</v>
      </c>
    </row>
    <row r="173" spans="1:6" ht="15.75" customHeight="1">
      <c r="A173" s="184" t="s">
        <v>634</v>
      </c>
      <c r="B173" s="184" t="s">
        <v>638</v>
      </c>
      <c r="C173" s="193"/>
      <c r="D173" s="193"/>
      <c r="E173" s="193"/>
      <c r="F173" s="191">
        <f t="shared" si="2"/>
        <v>0</v>
      </c>
    </row>
    <row r="174" spans="1:6" ht="15.75" customHeight="1">
      <c r="A174" s="184" t="s">
        <v>635</v>
      </c>
      <c r="B174" s="184" t="s">
        <v>639</v>
      </c>
      <c r="C174" s="193"/>
      <c r="D174" s="193"/>
      <c r="E174" s="193"/>
      <c r="F174" s="191">
        <f t="shared" si="2"/>
        <v>0</v>
      </c>
    </row>
    <row r="175" spans="1:6" ht="15.75" customHeight="1">
      <c r="A175" s="184"/>
      <c r="B175" s="184"/>
      <c r="C175" s="193"/>
      <c r="D175" s="193"/>
      <c r="E175" s="193"/>
      <c r="F175" s="191">
        <f t="shared" si="2"/>
        <v>0</v>
      </c>
    </row>
    <row r="176" spans="1:6" ht="15.75" customHeight="1">
      <c r="A176" s="181" t="s">
        <v>256</v>
      </c>
      <c r="B176" s="181" t="s">
        <v>257</v>
      </c>
      <c r="C176" s="193">
        <f>SUM(C177:C184)</f>
        <v>2069949.5399999998</v>
      </c>
      <c r="D176" s="193">
        <f>SUM(D177:D184)</f>
        <v>0</v>
      </c>
      <c r="E176" s="193">
        <f>SUM(E177:E184)</f>
        <v>0</v>
      </c>
      <c r="F176" s="191">
        <f t="shared" si="2"/>
        <v>2069949.5399999998</v>
      </c>
    </row>
    <row r="177" spans="1:6" ht="15.75" customHeight="1">
      <c r="A177" s="184" t="s">
        <v>640</v>
      </c>
      <c r="B177" s="184" t="s">
        <v>648</v>
      </c>
      <c r="C177" s="193"/>
      <c r="D177" s="193"/>
      <c r="E177" s="193"/>
      <c r="F177" s="191">
        <f t="shared" si="2"/>
        <v>0</v>
      </c>
    </row>
    <row r="178" spans="1:6" ht="15.75" customHeight="1">
      <c r="A178" s="184" t="s">
        <v>641</v>
      </c>
      <c r="B178" s="184" t="s">
        <v>649</v>
      </c>
      <c r="C178" s="193"/>
      <c r="D178" s="193"/>
      <c r="E178" s="193"/>
      <c r="F178" s="191">
        <f t="shared" si="2"/>
        <v>0</v>
      </c>
    </row>
    <row r="179" spans="1:6" ht="30" customHeight="1">
      <c r="A179" s="184" t="s">
        <v>642</v>
      </c>
      <c r="B179" s="215" t="s">
        <v>650</v>
      </c>
      <c r="C179" s="193"/>
      <c r="D179" s="193"/>
      <c r="E179" s="193"/>
      <c r="F179" s="191">
        <f t="shared" si="2"/>
        <v>0</v>
      </c>
    </row>
    <row r="180" spans="1:6" ht="15.75" customHeight="1">
      <c r="A180" s="184" t="s">
        <v>643</v>
      </c>
      <c r="B180" s="184" t="s">
        <v>651</v>
      </c>
      <c r="C180" s="193"/>
      <c r="D180" s="193"/>
      <c r="E180" s="193"/>
      <c r="F180" s="191">
        <f t="shared" si="2"/>
        <v>0</v>
      </c>
    </row>
    <row r="181" spans="1:6" ht="15.75" customHeight="1">
      <c r="A181" s="184" t="s">
        <v>644</v>
      </c>
      <c r="B181" s="184" t="s">
        <v>653</v>
      </c>
      <c r="C181" s="193">
        <v>0</v>
      </c>
      <c r="D181" s="193"/>
      <c r="E181" s="193">
        <v>0</v>
      </c>
      <c r="F181" s="191">
        <f t="shared" si="2"/>
        <v>0</v>
      </c>
    </row>
    <row r="182" spans="1:6" ht="15.75" customHeight="1">
      <c r="A182" s="184" t="s">
        <v>645</v>
      </c>
      <c r="B182" s="184" t="s">
        <v>652</v>
      </c>
      <c r="C182" s="193">
        <f>+'Deuda Interna'!C12</f>
        <v>2069949.5399999998</v>
      </c>
      <c r="D182" s="193"/>
      <c r="E182" s="193"/>
      <c r="F182" s="191">
        <f t="shared" si="2"/>
        <v>2069949.5399999998</v>
      </c>
    </row>
    <row r="183" spans="1:6" ht="15.75" customHeight="1">
      <c r="A183" s="184" t="s">
        <v>646</v>
      </c>
      <c r="B183" s="184" t="s">
        <v>654</v>
      </c>
      <c r="C183" s="193"/>
      <c r="D183" s="193"/>
      <c r="E183" s="193"/>
      <c r="F183" s="191">
        <f t="shared" si="2"/>
        <v>0</v>
      </c>
    </row>
    <row r="184" spans="1:6" ht="15.75" customHeight="1">
      <c r="A184" s="184" t="s">
        <v>647</v>
      </c>
      <c r="B184" s="184" t="s">
        <v>658</v>
      </c>
      <c r="C184" s="193"/>
      <c r="D184" s="193"/>
      <c r="E184" s="193"/>
      <c r="F184" s="191">
        <f t="shared" si="2"/>
        <v>0</v>
      </c>
    </row>
    <row r="185" spans="1:6" ht="15.75" customHeight="1">
      <c r="A185" s="184"/>
      <c r="B185" s="186"/>
      <c r="C185" s="193"/>
      <c r="D185" s="193"/>
      <c r="E185" s="193"/>
      <c r="F185" s="191">
        <f t="shared" si="2"/>
        <v>0</v>
      </c>
    </row>
    <row r="186" spans="1:6" ht="15.75" customHeight="1">
      <c r="A186" s="181" t="s">
        <v>659</v>
      </c>
      <c r="B186" s="181" t="s">
        <v>660</v>
      </c>
      <c r="C186" s="193">
        <f>SUM(C187:C188)</f>
        <v>0</v>
      </c>
      <c r="D186" s="193">
        <f>SUM(D187:D188)</f>
        <v>0</v>
      </c>
      <c r="E186" s="193">
        <f>SUM(E187:E188)</f>
        <v>0</v>
      </c>
      <c r="F186" s="191">
        <f t="shared" si="2"/>
        <v>0</v>
      </c>
    </row>
    <row r="187" spans="1:6" ht="15.75" customHeight="1">
      <c r="A187" s="184" t="s">
        <v>663</v>
      </c>
      <c r="B187" s="184" t="s">
        <v>661</v>
      </c>
      <c r="C187" s="193"/>
      <c r="D187" s="193"/>
      <c r="E187" s="193"/>
      <c r="F187" s="191">
        <f t="shared" si="2"/>
        <v>0</v>
      </c>
    </row>
    <row r="188" spans="1:6" ht="15.75" customHeight="1">
      <c r="A188" s="184" t="s">
        <v>664</v>
      </c>
      <c r="B188" s="184" t="s">
        <v>662</v>
      </c>
      <c r="C188" s="193"/>
      <c r="D188" s="193"/>
      <c r="E188" s="193"/>
      <c r="F188" s="191">
        <f t="shared" si="2"/>
        <v>0</v>
      </c>
    </row>
    <row r="189" spans="1:6" ht="15.75" customHeight="1">
      <c r="A189" s="310"/>
      <c r="B189" s="308"/>
      <c r="C189" s="309"/>
      <c r="D189" s="309"/>
      <c r="E189" s="309"/>
      <c r="F189" s="191">
        <f t="shared" si="2"/>
        <v>0</v>
      </c>
    </row>
    <row r="190" spans="1:6" ht="15.75" customHeight="1">
      <c r="A190" s="189" t="s">
        <v>258</v>
      </c>
      <c r="B190" s="189" t="s">
        <v>259</v>
      </c>
      <c r="C190" s="205">
        <f>SUM(C191:C195)</f>
        <v>0</v>
      </c>
      <c r="D190" s="205">
        <f>SUM(D191:D195)</f>
        <v>0</v>
      </c>
      <c r="E190" s="205">
        <f>SUM(E191:E195)</f>
        <v>0</v>
      </c>
      <c r="F190" s="191">
        <f t="shared" si="2"/>
        <v>0</v>
      </c>
    </row>
    <row r="191" spans="1:6" ht="15.75" customHeight="1">
      <c r="A191" s="184" t="s">
        <v>665</v>
      </c>
      <c r="B191" s="184" t="s">
        <v>671</v>
      </c>
      <c r="C191" s="193"/>
      <c r="D191" s="193"/>
      <c r="E191" s="193"/>
      <c r="F191" s="191">
        <f t="shared" si="2"/>
        <v>0</v>
      </c>
    </row>
    <row r="192" spans="1:6" ht="15.75" customHeight="1">
      <c r="A192" s="184" t="s">
        <v>666</v>
      </c>
      <c r="B192" s="184" t="s">
        <v>672</v>
      </c>
      <c r="C192" s="193"/>
      <c r="D192" s="193"/>
      <c r="E192" s="193"/>
      <c r="F192" s="191">
        <f t="shared" si="2"/>
        <v>0</v>
      </c>
    </row>
    <row r="193" spans="1:6" ht="15.75" customHeight="1">
      <c r="A193" s="184" t="s">
        <v>668</v>
      </c>
      <c r="B193" s="184" t="s">
        <v>673</v>
      </c>
      <c r="C193" s="193"/>
      <c r="D193" s="193"/>
      <c r="E193" s="193"/>
      <c r="F193" s="191">
        <f t="shared" si="2"/>
        <v>0</v>
      </c>
    </row>
    <row r="194" spans="1:6" ht="15.75" customHeight="1">
      <c r="A194" s="184" t="s">
        <v>669</v>
      </c>
      <c r="B194" s="184" t="s">
        <v>674</v>
      </c>
      <c r="C194" s="193"/>
      <c r="D194" s="193"/>
      <c r="E194" s="193"/>
      <c r="F194" s="191">
        <f t="shared" si="2"/>
        <v>0</v>
      </c>
    </row>
    <row r="195" spans="1:6" ht="15.75" customHeight="1">
      <c r="A195" s="184" t="s">
        <v>670</v>
      </c>
      <c r="B195" s="184" t="s">
        <v>687</v>
      </c>
      <c r="C195" s="193"/>
      <c r="D195" s="193"/>
      <c r="E195" s="193"/>
      <c r="F195" s="191">
        <f t="shared" si="2"/>
        <v>0</v>
      </c>
    </row>
    <row r="196" spans="1:6" ht="15.75" customHeight="1">
      <c r="A196" s="183"/>
      <c r="B196" s="186"/>
      <c r="C196" s="193"/>
      <c r="D196" s="193"/>
      <c r="E196" s="193"/>
      <c r="F196" s="191">
        <f t="shared" si="2"/>
        <v>0</v>
      </c>
    </row>
    <row r="197" spans="1:6" ht="15.75" customHeight="1">
      <c r="A197" s="181">
        <v>4</v>
      </c>
      <c r="B197" s="181" t="s">
        <v>194</v>
      </c>
      <c r="C197" s="193">
        <f>+C198+C208+C218</f>
        <v>0</v>
      </c>
      <c r="D197" s="193">
        <f>+D198+D208+D218</f>
        <v>0</v>
      </c>
      <c r="E197" s="193">
        <f>+E198+E208+E218</f>
        <v>0</v>
      </c>
      <c r="F197" s="191">
        <f t="shared" si="2"/>
        <v>0</v>
      </c>
    </row>
    <row r="198" spans="1:6" ht="15.75" customHeight="1">
      <c r="A198" s="189" t="s">
        <v>260</v>
      </c>
      <c r="B198" s="189" t="s">
        <v>261</v>
      </c>
      <c r="C198" s="205">
        <f>SUM(C199:C206)</f>
        <v>0</v>
      </c>
      <c r="D198" s="205">
        <f>SUM(D199:D206)</f>
        <v>0</v>
      </c>
      <c r="E198" s="205">
        <f>SUM(E199:E206)</f>
        <v>0</v>
      </c>
      <c r="F198" s="191">
        <f t="shared" si="2"/>
        <v>0</v>
      </c>
    </row>
    <row r="199" spans="1:6" ht="15.75" customHeight="1">
      <c r="A199" s="184" t="s">
        <v>688</v>
      </c>
      <c r="B199" s="184" t="s">
        <v>696</v>
      </c>
      <c r="C199" s="193"/>
      <c r="D199" s="193"/>
      <c r="E199" s="193"/>
      <c r="F199" s="191">
        <f t="shared" si="2"/>
        <v>0</v>
      </c>
    </row>
    <row r="200" spans="1:6" ht="15.75" customHeight="1">
      <c r="A200" s="184" t="s">
        <v>689</v>
      </c>
      <c r="B200" s="184" t="s">
        <v>697</v>
      </c>
      <c r="C200" s="193"/>
      <c r="D200" s="193"/>
      <c r="E200" s="193"/>
      <c r="F200" s="191">
        <f t="shared" si="2"/>
        <v>0</v>
      </c>
    </row>
    <row r="201" spans="1:6" ht="15.75" customHeight="1">
      <c r="A201" s="184" t="s">
        <v>690</v>
      </c>
      <c r="B201" s="184" t="s">
        <v>698</v>
      </c>
      <c r="C201" s="193"/>
      <c r="D201" s="193"/>
      <c r="E201" s="193"/>
      <c r="F201" s="191">
        <f t="shared" ref="F201:F264" si="3">+C201+D201+E201</f>
        <v>0</v>
      </c>
    </row>
    <row r="202" spans="1:6" ht="15.75" customHeight="1">
      <c r="A202" s="184" t="s">
        <v>691</v>
      </c>
      <c r="B202" s="184" t="s">
        <v>699</v>
      </c>
      <c r="C202" s="193"/>
      <c r="D202" s="193"/>
      <c r="E202" s="193"/>
      <c r="F202" s="191">
        <f t="shared" si="3"/>
        <v>0</v>
      </c>
    </row>
    <row r="203" spans="1:6" ht="15.75" customHeight="1">
      <c r="A203" s="184" t="s">
        <v>692</v>
      </c>
      <c r="B203" s="184" t="s">
        <v>700</v>
      </c>
      <c r="C203" s="193"/>
      <c r="D203" s="193"/>
      <c r="E203" s="193"/>
      <c r="F203" s="191">
        <f t="shared" si="3"/>
        <v>0</v>
      </c>
    </row>
    <row r="204" spans="1:6" ht="15.75" customHeight="1">
      <c r="A204" s="184" t="s">
        <v>693</v>
      </c>
      <c r="B204" s="184" t="s">
        <v>701</v>
      </c>
      <c r="C204" s="193"/>
      <c r="D204" s="193"/>
      <c r="E204" s="193"/>
      <c r="F204" s="191">
        <f t="shared" si="3"/>
        <v>0</v>
      </c>
    </row>
    <row r="205" spans="1:6" ht="15.75" customHeight="1">
      <c r="A205" s="184" t="s">
        <v>694</v>
      </c>
      <c r="B205" s="184" t="s">
        <v>702</v>
      </c>
      <c r="C205" s="193"/>
      <c r="D205" s="193"/>
      <c r="E205" s="193"/>
      <c r="F205" s="191">
        <f t="shared" si="3"/>
        <v>0</v>
      </c>
    </row>
    <row r="206" spans="1:6" ht="15.75" customHeight="1">
      <c r="A206" s="184" t="s">
        <v>695</v>
      </c>
      <c r="B206" s="184" t="s">
        <v>703</v>
      </c>
      <c r="C206" s="193"/>
      <c r="D206" s="193"/>
      <c r="E206" s="193"/>
      <c r="F206" s="191">
        <f t="shared" si="3"/>
        <v>0</v>
      </c>
    </row>
    <row r="207" spans="1:6" ht="15.75" customHeight="1">
      <c r="A207" s="183"/>
      <c r="B207" s="186"/>
      <c r="C207" s="193"/>
      <c r="D207" s="193"/>
      <c r="E207" s="193"/>
      <c r="F207" s="191">
        <f t="shared" si="3"/>
        <v>0</v>
      </c>
    </row>
    <row r="208" spans="1:6" ht="15.75" customHeight="1">
      <c r="A208" s="181" t="s">
        <v>262</v>
      </c>
      <c r="B208" s="181" t="s">
        <v>263</v>
      </c>
      <c r="C208" s="193">
        <f>SUM(C209:C216)</f>
        <v>0</v>
      </c>
      <c r="D208" s="193">
        <f>SUM(D209:D216)</f>
        <v>0</v>
      </c>
      <c r="E208" s="193">
        <f>SUM(E209:E216)</f>
        <v>0</v>
      </c>
      <c r="F208" s="191">
        <f t="shared" si="3"/>
        <v>0</v>
      </c>
    </row>
    <row r="209" spans="1:6" ht="15.75" customHeight="1">
      <c r="A209" s="184" t="s">
        <v>704</v>
      </c>
      <c r="B209" s="184" t="s">
        <v>712</v>
      </c>
      <c r="C209" s="193"/>
      <c r="D209" s="193"/>
      <c r="E209" s="193"/>
      <c r="F209" s="191">
        <f t="shared" si="3"/>
        <v>0</v>
      </c>
    </row>
    <row r="210" spans="1:6" ht="15.75" customHeight="1">
      <c r="A210" s="184" t="s">
        <v>705</v>
      </c>
      <c r="B210" s="184" t="s">
        <v>713</v>
      </c>
      <c r="C210" s="193"/>
      <c r="D210" s="193"/>
      <c r="E210" s="193"/>
      <c r="F210" s="191">
        <f t="shared" si="3"/>
        <v>0</v>
      </c>
    </row>
    <row r="211" spans="1:6" ht="27.75" customHeight="1">
      <c r="A211" s="184" t="s">
        <v>706</v>
      </c>
      <c r="B211" s="215" t="s">
        <v>714</v>
      </c>
      <c r="C211" s="193"/>
      <c r="D211" s="193"/>
      <c r="E211" s="193"/>
      <c r="F211" s="191">
        <f t="shared" si="3"/>
        <v>0</v>
      </c>
    </row>
    <row r="212" spans="1:6" ht="15.75" customHeight="1">
      <c r="A212" s="184" t="s">
        <v>707</v>
      </c>
      <c r="B212" s="184" t="s">
        <v>715</v>
      </c>
      <c r="C212" s="193"/>
      <c r="D212" s="193"/>
      <c r="E212" s="193"/>
      <c r="F212" s="191">
        <f t="shared" si="3"/>
        <v>0</v>
      </c>
    </row>
    <row r="213" spans="1:6" ht="15.75" customHeight="1">
      <c r="A213" s="184" t="s">
        <v>708</v>
      </c>
      <c r="B213" s="184" t="s">
        <v>716</v>
      </c>
      <c r="C213" s="193"/>
      <c r="D213" s="193"/>
      <c r="E213" s="193"/>
      <c r="F213" s="191">
        <f t="shared" si="3"/>
        <v>0</v>
      </c>
    </row>
    <row r="214" spans="1:6" ht="15.75" customHeight="1">
      <c r="A214" s="184" t="s">
        <v>709</v>
      </c>
      <c r="B214" s="184" t="s">
        <v>717</v>
      </c>
      <c r="C214" s="193"/>
      <c r="D214" s="193"/>
      <c r="E214" s="193"/>
      <c r="F214" s="191">
        <f t="shared" si="3"/>
        <v>0</v>
      </c>
    </row>
    <row r="215" spans="1:6" ht="15.75" customHeight="1">
      <c r="A215" s="184" t="s">
        <v>710</v>
      </c>
      <c r="B215" s="184" t="s">
        <v>718</v>
      </c>
      <c r="C215" s="193"/>
      <c r="D215" s="193"/>
      <c r="E215" s="193"/>
      <c r="F215" s="191">
        <f t="shared" si="3"/>
        <v>0</v>
      </c>
    </row>
    <row r="216" spans="1:6" ht="15.75" customHeight="1">
      <c r="A216" s="184" t="s">
        <v>711</v>
      </c>
      <c r="B216" s="184" t="s">
        <v>719</v>
      </c>
      <c r="C216" s="193"/>
      <c r="D216" s="193"/>
      <c r="E216" s="193"/>
      <c r="F216" s="191">
        <f t="shared" si="3"/>
        <v>0</v>
      </c>
    </row>
    <row r="217" spans="1:6" ht="15.75" customHeight="1">
      <c r="A217" s="183"/>
      <c r="B217" s="186"/>
      <c r="C217" s="193"/>
      <c r="D217" s="193"/>
      <c r="E217" s="193"/>
      <c r="F217" s="191">
        <f t="shared" si="3"/>
        <v>0</v>
      </c>
    </row>
    <row r="218" spans="1:6" ht="15.75" customHeight="1">
      <c r="A218" s="181" t="s">
        <v>264</v>
      </c>
      <c r="B218" s="181" t="s">
        <v>265</v>
      </c>
      <c r="C218" s="193">
        <f>SUM(C219:C220)</f>
        <v>0</v>
      </c>
      <c r="D218" s="193">
        <f>SUM(D219:D220)</f>
        <v>0</v>
      </c>
      <c r="E218" s="193">
        <f>SUM(E219:E220)</f>
        <v>0</v>
      </c>
      <c r="F218" s="191">
        <f t="shared" si="3"/>
        <v>0</v>
      </c>
    </row>
    <row r="219" spans="1:6" ht="15.75" customHeight="1">
      <c r="A219" s="184" t="s">
        <v>720</v>
      </c>
      <c r="B219" s="184" t="s">
        <v>722</v>
      </c>
      <c r="C219" s="193"/>
      <c r="D219" s="193"/>
      <c r="E219" s="193"/>
      <c r="F219" s="191">
        <f t="shared" si="3"/>
        <v>0</v>
      </c>
    </row>
    <row r="220" spans="1:6" ht="15.75" customHeight="1">
      <c r="A220" s="184" t="s">
        <v>721</v>
      </c>
      <c r="B220" s="184" t="s">
        <v>723</v>
      </c>
      <c r="C220" s="193"/>
      <c r="D220" s="193"/>
      <c r="E220" s="193"/>
      <c r="F220" s="191">
        <f t="shared" si="3"/>
        <v>0</v>
      </c>
    </row>
    <row r="221" spans="1:6" ht="15.75" customHeight="1">
      <c r="A221" s="183"/>
      <c r="B221" s="186"/>
      <c r="C221" s="193"/>
      <c r="D221" s="193"/>
      <c r="E221" s="193"/>
      <c r="F221" s="191">
        <f t="shared" si="3"/>
        <v>0</v>
      </c>
    </row>
    <row r="222" spans="1:6" ht="15.75" customHeight="1">
      <c r="A222" s="181">
        <v>5</v>
      </c>
      <c r="B222" s="181" t="s">
        <v>724</v>
      </c>
      <c r="C222" s="193">
        <f>+C223+C233+C243+C248</f>
        <v>0</v>
      </c>
      <c r="D222" s="193">
        <f>+D223+D233+D243+D248</f>
        <v>0</v>
      </c>
      <c r="E222" s="193">
        <f>+E223+E233+E243+E248</f>
        <v>0</v>
      </c>
      <c r="F222" s="191">
        <f t="shared" si="3"/>
        <v>0</v>
      </c>
    </row>
    <row r="223" spans="1:6" ht="15.75" customHeight="1">
      <c r="A223" s="181" t="s">
        <v>266</v>
      </c>
      <c r="B223" s="181" t="s">
        <v>267</v>
      </c>
      <c r="C223" s="193">
        <f>SUM(C224:C231)</f>
        <v>0</v>
      </c>
      <c r="D223" s="193">
        <f>+D227</f>
        <v>0</v>
      </c>
      <c r="E223" s="193">
        <f>SUM(E224:E231)</f>
        <v>0</v>
      </c>
      <c r="F223" s="191">
        <f t="shared" si="3"/>
        <v>0</v>
      </c>
    </row>
    <row r="224" spans="1:6" ht="15.75" customHeight="1">
      <c r="A224" s="184" t="s">
        <v>725</v>
      </c>
      <c r="B224" s="184" t="s">
        <v>733</v>
      </c>
      <c r="C224" s="193"/>
      <c r="D224" s="193"/>
      <c r="E224" s="193"/>
      <c r="F224" s="191">
        <f t="shared" si="3"/>
        <v>0</v>
      </c>
    </row>
    <row r="225" spans="1:6" ht="15.75" customHeight="1">
      <c r="A225" s="184" t="s">
        <v>726</v>
      </c>
      <c r="B225" s="184" t="s">
        <v>734</v>
      </c>
      <c r="C225" s="193">
        <v>0</v>
      </c>
      <c r="D225" s="193"/>
      <c r="E225" s="193"/>
      <c r="F225" s="191">
        <f t="shared" si="3"/>
        <v>0</v>
      </c>
    </row>
    <row r="226" spans="1:6" ht="15.75" customHeight="1">
      <c r="A226" s="184" t="s">
        <v>727</v>
      </c>
      <c r="B226" s="184" t="s">
        <v>735</v>
      </c>
      <c r="C226" s="193"/>
      <c r="D226" s="193"/>
      <c r="E226" s="193"/>
      <c r="F226" s="191">
        <f t="shared" si="3"/>
        <v>0</v>
      </c>
    </row>
    <row r="227" spans="1:6" ht="15.75" customHeight="1">
      <c r="A227" s="184" t="s">
        <v>728</v>
      </c>
      <c r="B227" s="184" t="s">
        <v>736</v>
      </c>
      <c r="C227" s="193">
        <v>0</v>
      </c>
      <c r="D227" s="193">
        <v>0</v>
      </c>
      <c r="E227" s="193"/>
      <c r="F227" s="191">
        <f t="shared" si="3"/>
        <v>0</v>
      </c>
    </row>
    <row r="228" spans="1:6" ht="15.75" customHeight="1">
      <c r="A228" s="184" t="s">
        <v>729</v>
      </c>
      <c r="B228" s="184" t="s">
        <v>737</v>
      </c>
      <c r="C228" s="193">
        <v>0</v>
      </c>
      <c r="D228" s="193"/>
      <c r="E228" s="193"/>
      <c r="F228" s="191">
        <f t="shared" si="3"/>
        <v>0</v>
      </c>
    </row>
    <row r="229" spans="1:6" ht="15.75" customHeight="1">
      <c r="A229" s="184" t="s">
        <v>730</v>
      </c>
      <c r="B229" s="184" t="s">
        <v>738</v>
      </c>
      <c r="C229" s="193"/>
      <c r="D229" s="193"/>
      <c r="E229" s="193"/>
      <c r="F229" s="191">
        <f t="shared" si="3"/>
        <v>0</v>
      </c>
    </row>
    <row r="230" spans="1:6" ht="15.75" customHeight="1">
      <c r="A230" s="184" t="s">
        <v>731</v>
      </c>
      <c r="B230" s="184" t="s">
        <v>739</v>
      </c>
      <c r="C230" s="193">
        <v>0</v>
      </c>
      <c r="D230" s="193"/>
      <c r="E230" s="193"/>
      <c r="F230" s="191">
        <f t="shared" si="3"/>
        <v>0</v>
      </c>
    </row>
    <row r="231" spans="1:6" ht="15.75" customHeight="1">
      <c r="A231" s="184" t="s">
        <v>732</v>
      </c>
      <c r="B231" s="184" t="s">
        <v>740</v>
      </c>
      <c r="C231" s="193"/>
      <c r="D231" s="193"/>
      <c r="E231" s="193"/>
      <c r="F231" s="191">
        <f t="shared" si="3"/>
        <v>0</v>
      </c>
    </row>
    <row r="232" spans="1:6" ht="15.75" customHeight="1">
      <c r="A232" s="182"/>
      <c r="B232" s="186"/>
      <c r="C232" s="193"/>
      <c r="D232" s="193"/>
      <c r="E232" s="193"/>
      <c r="F232" s="191">
        <f t="shared" si="3"/>
        <v>0</v>
      </c>
    </row>
    <row r="233" spans="1:6" ht="15.75" customHeight="1">
      <c r="A233" s="181" t="s">
        <v>268</v>
      </c>
      <c r="B233" s="181" t="s">
        <v>269</v>
      </c>
      <c r="C233" s="193">
        <f>SUM(C234:C241)</f>
        <v>0</v>
      </c>
      <c r="D233" s="193">
        <f>SUM(D234:D241)</f>
        <v>0</v>
      </c>
      <c r="E233" s="193">
        <f>SUM(E234:E241)</f>
        <v>0</v>
      </c>
      <c r="F233" s="191">
        <f t="shared" si="3"/>
        <v>0</v>
      </c>
    </row>
    <row r="234" spans="1:6" ht="15.75" customHeight="1">
      <c r="A234" s="184" t="s">
        <v>741</v>
      </c>
      <c r="B234" s="184" t="s">
        <v>749</v>
      </c>
      <c r="C234" s="193">
        <v>0</v>
      </c>
      <c r="D234" s="193"/>
      <c r="E234" s="193"/>
      <c r="F234" s="191">
        <f t="shared" si="3"/>
        <v>0</v>
      </c>
    </row>
    <row r="235" spans="1:6" ht="15.75" customHeight="1">
      <c r="A235" s="184" t="s">
        <v>742</v>
      </c>
      <c r="B235" s="184" t="s">
        <v>750</v>
      </c>
      <c r="C235" s="193"/>
      <c r="D235" s="193"/>
      <c r="E235" s="193"/>
      <c r="F235" s="191">
        <f t="shared" si="3"/>
        <v>0</v>
      </c>
    </row>
    <row r="236" spans="1:6" ht="15.75" customHeight="1">
      <c r="A236" s="184" t="s">
        <v>743</v>
      </c>
      <c r="B236" s="184" t="s">
        <v>751</v>
      </c>
      <c r="C236" s="193"/>
      <c r="D236" s="193"/>
      <c r="E236" s="193"/>
      <c r="F236" s="191">
        <f t="shared" si="3"/>
        <v>0</v>
      </c>
    </row>
    <row r="237" spans="1:6" ht="15.75" customHeight="1">
      <c r="A237" s="184" t="s">
        <v>744</v>
      </c>
      <c r="B237" s="184" t="s">
        <v>752</v>
      </c>
      <c r="C237" s="193"/>
      <c r="D237" s="193"/>
      <c r="E237" s="193"/>
      <c r="F237" s="191">
        <f t="shared" si="3"/>
        <v>0</v>
      </c>
    </row>
    <row r="238" spans="1:6" ht="15.75" customHeight="1">
      <c r="A238" s="184" t="s">
        <v>745</v>
      </c>
      <c r="B238" s="184" t="s">
        <v>753</v>
      </c>
      <c r="C238" s="193"/>
      <c r="D238" s="193"/>
      <c r="E238" s="193"/>
      <c r="F238" s="191">
        <f t="shared" si="3"/>
        <v>0</v>
      </c>
    </row>
    <row r="239" spans="1:6" ht="15.75" customHeight="1">
      <c r="A239" s="203" t="s">
        <v>746</v>
      </c>
      <c r="B239" s="203" t="s">
        <v>754</v>
      </c>
      <c r="C239" s="205"/>
      <c r="D239" s="205"/>
      <c r="E239" s="205"/>
      <c r="F239" s="191">
        <f t="shared" si="3"/>
        <v>0</v>
      </c>
    </row>
    <row r="240" spans="1:6" ht="15.75" customHeight="1">
      <c r="A240" s="184" t="s">
        <v>747</v>
      </c>
      <c r="B240" s="184" t="s">
        <v>755</v>
      </c>
      <c r="C240" s="193"/>
      <c r="D240" s="193"/>
      <c r="E240" s="193"/>
      <c r="F240" s="191">
        <f t="shared" si="3"/>
        <v>0</v>
      </c>
    </row>
    <row r="241" spans="1:7" ht="15.75" customHeight="1">
      <c r="A241" s="184" t="s">
        <v>748</v>
      </c>
      <c r="B241" s="184" t="s">
        <v>756</v>
      </c>
      <c r="C241" s="193"/>
      <c r="D241" s="193"/>
      <c r="E241" s="193"/>
      <c r="F241" s="191">
        <f t="shared" si="3"/>
        <v>0</v>
      </c>
    </row>
    <row r="242" spans="1:7" ht="15.75" customHeight="1">
      <c r="A242" s="183"/>
      <c r="B242" s="186"/>
      <c r="C242" s="193"/>
      <c r="D242" s="193"/>
      <c r="E242" s="193"/>
      <c r="F242" s="191">
        <f t="shared" si="3"/>
        <v>0</v>
      </c>
    </row>
    <row r="243" spans="1:7" ht="15.75" customHeight="1">
      <c r="A243" s="181" t="s">
        <v>270</v>
      </c>
      <c r="B243" s="181" t="s">
        <v>271</v>
      </c>
      <c r="C243" s="193">
        <f>SUM(C244:C246)</f>
        <v>0</v>
      </c>
      <c r="D243" s="193">
        <f>SUM(D244:D246)</f>
        <v>0</v>
      </c>
      <c r="E243" s="193">
        <f>SUM(E244:E246)</f>
        <v>0</v>
      </c>
      <c r="F243" s="191">
        <f t="shared" si="3"/>
        <v>0</v>
      </c>
    </row>
    <row r="244" spans="1:7" ht="15.75" customHeight="1">
      <c r="A244" s="184" t="s">
        <v>757</v>
      </c>
      <c r="B244" s="184" t="s">
        <v>760</v>
      </c>
      <c r="C244" s="193">
        <v>0</v>
      </c>
      <c r="D244" s="193">
        <v>0</v>
      </c>
      <c r="E244" s="193"/>
      <c r="F244" s="191">
        <f t="shared" si="3"/>
        <v>0</v>
      </c>
    </row>
    <row r="245" spans="1:7" ht="15.75" customHeight="1">
      <c r="A245" s="184" t="s">
        <v>758</v>
      </c>
      <c r="B245" s="184" t="s">
        <v>761</v>
      </c>
      <c r="C245" s="193"/>
      <c r="D245" s="193"/>
      <c r="E245" s="193"/>
      <c r="F245" s="191">
        <f t="shared" si="3"/>
        <v>0</v>
      </c>
    </row>
    <row r="246" spans="1:7" ht="15.75" customHeight="1">
      <c r="A246" s="184" t="s">
        <v>759</v>
      </c>
      <c r="B246" s="184" t="s">
        <v>762</v>
      </c>
      <c r="C246" s="193"/>
      <c r="D246" s="193"/>
      <c r="E246" s="193"/>
      <c r="F246" s="191">
        <f t="shared" si="3"/>
        <v>0</v>
      </c>
    </row>
    <row r="247" spans="1:7" ht="15.75" customHeight="1">
      <c r="A247" s="183"/>
      <c r="B247" s="186"/>
      <c r="C247" s="193"/>
      <c r="D247" s="193"/>
      <c r="E247" s="193"/>
      <c r="F247" s="191">
        <f t="shared" si="3"/>
        <v>0</v>
      </c>
    </row>
    <row r="248" spans="1:7" ht="15.75" customHeight="1">
      <c r="A248" s="181" t="s">
        <v>272</v>
      </c>
      <c r="B248" s="181" t="s">
        <v>273</v>
      </c>
      <c r="C248" s="193">
        <f>SUM(C249:C252)</f>
        <v>0</v>
      </c>
      <c r="D248" s="193">
        <f>SUM(D249:D252)</f>
        <v>0</v>
      </c>
      <c r="E248" s="193">
        <f>SUM(E249:E252)</f>
        <v>0</v>
      </c>
      <c r="F248" s="191">
        <f t="shared" si="3"/>
        <v>0</v>
      </c>
    </row>
    <row r="249" spans="1:7" ht="15.75" customHeight="1">
      <c r="A249" s="184" t="s">
        <v>763</v>
      </c>
      <c r="B249" s="184" t="s">
        <v>767</v>
      </c>
      <c r="C249" s="193"/>
      <c r="D249" s="193"/>
      <c r="E249" s="193"/>
      <c r="F249" s="191">
        <f t="shared" si="3"/>
        <v>0</v>
      </c>
    </row>
    <row r="250" spans="1:7" ht="15.75" customHeight="1">
      <c r="A250" s="184" t="s">
        <v>764</v>
      </c>
      <c r="B250" s="184" t="s">
        <v>768</v>
      </c>
      <c r="C250" s="193"/>
      <c r="D250" s="193"/>
      <c r="E250" s="193"/>
      <c r="F250" s="191">
        <f t="shared" si="3"/>
        <v>0</v>
      </c>
    </row>
    <row r="251" spans="1:7" ht="15.75" customHeight="1">
      <c r="A251" s="184" t="s">
        <v>765</v>
      </c>
      <c r="B251" s="184" t="s">
        <v>769</v>
      </c>
      <c r="C251" s="193"/>
      <c r="D251" s="193"/>
      <c r="E251" s="193"/>
      <c r="F251" s="191">
        <f t="shared" si="3"/>
        <v>0</v>
      </c>
    </row>
    <row r="252" spans="1:7" ht="15.75" customHeight="1">
      <c r="A252" s="184" t="s">
        <v>766</v>
      </c>
      <c r="B252" s="184" t="s">
        <v>770</v>
      </c>
      <c r="C252" s="193"/>
      <c r="D252" s="193"/>
      <c r="E252" s="193"/>
      <c r="F252" s="191">
        <f t="shared" si="3"/>
        <v>0</v>
      </c>
    </row>
    <row r="253" spans="1:7" ht="15.75" customHeight="1">
      <c r="A253" s="183"/>
      <c r="B253" s="186"/>
      <c r="C253" s="193"/>
      <c r="D253" s="193"/>
      <c r="E253" s="193"/>
      <c r="F253" s="191">
        <f t="shared" si="3"/>
        <v>0</v>
      </c>
    </row>
    <row r="254" spans="1:7" ht="15.75" customHeight="1">
      <c r="A254" s="181">
        <v>6</v>
      </c>
      <c r="B254" s="181" t="s">
        <v>771</v>
      </c>
      <c r="C254" s="193">
        <f>+C255+C266+C272+C280+C286+C289+C293</f>
        <v>0</v>
      </c>
      <c r="D254" s="193">
        <f>+D255+D266+D272+D280+D286+D289+D293</f>
        <v>0</v>
      </c>
      <c r="E254" s="193">
        <f>+E255+E266+E272+E280+E286+E289+E293</f>
        <v>82043760.431041673</v>
      </c>
      <c r="F254" s="191">
        <f t="shared" si="3"/>
        <v>82043760.431041673</v>
      </c>
      <c r="G254" s="236"/>
    </row>
    <row r="255" spans="1:7" ht="15.75" customHeight="1">
      <c r="A255" s="181" t="s">
        <v>274</v>
      </c>
      <c r="B255" s="181" t="s">
        <v>275</v>
      </c>
      <c r="C255" s="193">
        <f>SUM(C256:C264)</f>
        <v>0</v>
      </c>
      <c r="D255" s="193">
        <f>SUM(D256:D264)</f>
        <v>0</v>
      </c>
      <c r="E255" s="193">
        <f>SUM(E256:E264)</f>
        <v>80614498.115375012</v>
      </c>
      <c r="F255" s="191">
        <f t="shared" si="3"/>
        <v>80614498.115375012</v>
      </c>
    </row>
    <row r="256" spans="1:7" ht="15.75" customHeight="1">
      <c r="A256" s="184" t="s">
        <v>815</v>
      </c>
      <c r="B256" s="184" t="s">
        <v>824</v>
      </c>
      <c r="C256" s="193"/>
      <c r="D256" s="193"/>
      <c r="E256" s="193">
        <f>+Tranferencias!E12</f>
        <v>1840000</v>
      </c>
      <c r="F256" s="191">
        <f t="shared" si="3"/>
        <v>1840000</v>
      </c>
    </row>
    <row r="257" spans="1:6" ht="15.75" customHeight="1">
      <c r="A257" s="184" t="s">
        <v>816</v>
      </c>
      <c r="B257" s="184" t="s">
        <v>825</v>
      </c>
      <c r="C257" s="193"/>
      <c r="D257" s="193"/>
      <c r="E257" s="193">
        <f>+Tranferencias!E14+Tranferencias!E15+Tranferencias!E16</f>
        <v>6980000</v>
      </c>
      <c r="F257" s="191">
        <f t="shared" si="3"/>
        <v>6980000</v>
      </c>
    </row>
    <row r="258" spans="1:6" ht="15.75" customHeight="1">
      <c r="A258" s="184" t="s">
        <v>817</v>
      </c>
      <c r="B258" s="184" t="s">
        <v>826</v>
      </c>
      <c r="C258" s="193"/>
      <c r="D258" s="193"/>
      <c r="E258" s="193">
        <f>+Tranferencias!E18+Tranferencias!E19</f>
        <v>41465933.082050003</v>
      </c>
      <c r="F258" s="191">
        <f t="shared" si="3"/>
        <v>41465933.082050003</v>
      </c>
    </row>
    <row r="259" spans="1:6" ht="15.75" customHeight="1">
      <c r="A259" s="184" t="s">
        <v>818</v>
      </c>
      <c r="B259" s="184" t="s">
        <v>827</v>
      </c>
      <c r="C259" s="193"/>
      <c r="D259" s="193"/>
      <c r="E259" s="193">
        <f>+Tranferencias!E21+Tranferencias!E22+Tranferencias!E23</f>
        <v>30328565.033325002</v>
      </c>
      <c r="F259" s="191">
        <f t="shared" si="3"/>
        <v>30328565.033325002</v>
      </c>
    </row>
    <row r="260" spans="1:6" ht="15.75" customHeight="1">
      <c r="A260" s="184" t="s">
        <v>819</v>
      </c>
      <c r="B260" s="184" t="s">
        <v>828</v>
      </c>
      <c r="C260" s="193"/>
      <c r="D260" s="193"/>
      <c r="E260" s="193"/>
      <c r="F260" s="191">
        <f t="shared" si="3"/>
        <v>0</v>
      </c>
    </row>
    <row r="261" spans="1:6" ht="15.75" customHeight="1">
      <c r="A261" s="184" t="s">
        <v>820</v>
      </c>
      <c r="B261" s="184" t="s">
        <v>829</v>
      </c>
      <c r="C261" s="193"/>
      <c r="D261" s="193"/>
      <c r="E261" s="193"/>
      <c r="F261" s="191">
        <f t="shared" si="3"/>
        <v>0</v>
      </c>
    </row>
    <row r="262" spans="1:6" ht="15.75" customHeight="1">
      <c r="A262" s="184" t="s">
        <v>821</v>
      </c>
      <c r="B262" s="184" t="s">
        <v>830</v>
      </c>
      <c r="C262" s="193"/>
      <c r="D262" s="193"/>
      <c r="E262" s="193"/>
      <c r="F262" s="191">
        <f t="shared" si="3"/>
        <v>0</v>
      </c>
    </row>
    <row r="263" spans="1:6" ht="15.75" customHeight="1">
      <c r="A263" s="184" t="s">
        <v>822</v>
      </c>
      <c r="B263" s="184" t="s">
        <v>831</v>
      </c>
      <c r="C263" s="193"/>
      <c r="D263" s="193"/>
      <c r="E263" s="193"/>
      <c r="F263" s="191">
        <f t="shared" si="3"/>
        <v>0</v>
      </c>
    </row>
    <row r="264" spans="1:6" ht="15.75" customHeight="1">
      <c r="A264" s="184" t="s">
        <v>823</v>
      </c>
      <c r="B264" s="184" t="s">
        <v>832</v>
      </c>
      <c r="C264" s="193"/>
      <c r="D264" s="193"/>
      <c r="E264" s="193"/>
      <c r="F264" s="191">
        <f t="shared" si="3"/>
        <v>0</v>
      </c>
    </row>
    <row r="265" spans="1:6" ht="15.75" customHeight="1">
      <c r="A265" s="183"/>
      <c r="B265" s="186"/>
      <c r="C265" s="193"/>
      <c r="D265" s="193"/>
      <c r="E265" s="193"/>
      <c r="F265" s="191">
        <f t="shared" ref="F265:F328" si="4">+C265+D265+E265</f>
        <v>0</v>
      </c>
    </row>
    <row r="266" spans="1:6" ht="15.75" customHeight="1">
      <c r="A266" s="189" t="s">
        <v>276</v>
      </c>
      <c r="B266" s="189" t="s">
        <v>277</v>
      </c>
      <c r="C266" s="205">
        <f>SUM(C267:C270)</f>
        <v>0</v>
      </c>
      <c r="D266" s="205">
        <f>SUM(D267:D270)</f>
        <v>0</v>
      </c>
      <c r="E266" s="205">
        <f>SUM(E267:E270)</f>
        <v>0</v>
      </c>
      <c r="F266" s="191">
        <f t="shared" si="4"/>
        <v>0</v>
      </c>
    </row>
    <row r="267" spans="1:6" ht="15.75" customHeight="1">
      <c r="A267" s="184" t="s">
        <v>772</v>
      </c>
      <c r="B267" s="184" t="s">
        <v>776</v>
      </c>
      <c r="C267" s="193"/>
      <c r="D267" s="193"/>
      <c r="E267" s="193"/>
      <c r="F267" s="191">
        <f t="shared" si="4"/>
        <v>0</v>
      </c>
    </row>
    <row r="268" spans="1:6" ht="15.75" customHeight="1">
      <c r="A268" s="184" t="s">
        <v>773</v>
      </c>
      <c r="B268" s="184" t="s">
        <v>777</v>
      </c>
      <c r="C268" s="193"/>
      <c r="D268" s="193"/>
      <c r="E268" s="193"/>
      <c r="F268" s="191">
        <f t="shared" si="4"/>
        <v>0</v>
      </c>
    </row>
    <row r="269" spans="1:6" ht="15.75" customHeight="1">
      <c r="A269" s="184" t="s">
        <v>774</v>
      </c>
      <c r="B269" s="184" t="s">
        <v>778</v>
      </c>
      <c r="C269" s="193"/>
      <c r="D269" s="193"/>
      <c r="E269" s="193"/>
      <c r="F269" s="191">
        <f t="shared" si="4"/>
        <v>0</v>
      </c>
    </row>
    <row r="270" spans="1:6" ht="15.75" customHeight="1">
      <c r="A270" s="184" t="s">
        <v>775</v>
      </c>
      <c r="B270" s="184" t="s">
        <v>779</v>
      </c>
      <c r="C270" s="193"/>
      <c r="D270" s="193"/>
      <c r="E270" s="193"/>
      <c r="F270" s="191">
        <f t="shared" si="4"/>
        <v>0</v>
      </c>
    </row>
    <row r="271" spans="1:6" ht="15.75" customHeight="1">
      <c r="A271" s="183"/>
      <c r="B271" s="186"/>
      <c r="C271" s="193"/>
      <c r="D271" s="193"/>
      <c r="E271" s="193"/>
      <c r="F271" s="191">
        <f t="shared" si="4"/>
        <v>0</v>
      </c>
    </row>
    <row r="272" spans="1:6" ht="15.75" customHeight="1">
      <c r="A272" s="181" t="s">
        <v>278</v>
      </c>
      <c r="B272" s="181" t="s">
        <v>279</v>
      </c>
      <c r="C272" s="193">
        <f>SUM(C273:C278)</f>
        <v>0</v>
      </c>
      <c r="D272" s="193">
        <f>SUM(D273:D278)</f>
        <v>0</v>
      </c>
      <c r="E272" s="193">
        <f>SUM(E273:E278)</f>
        <v>1429262.3156666665</v>
      </c>
      <c r="F272" s="191">
        <f t="shared" si="4"/>
        <v>1429262.3156666665</v>
      </c>
    </row>
    <row r="273" spans="1:7" ht="15.75" customHeight="1">
      <c r="A273" s="184" t="s">
        <v>780</v>
      </c>
      <c r="B273" s="184" t="s">
        <v>786</v>
      </c>
      <c r="C273" s="193">
        <v>0</v>
      </c>
      <c r="D273" s="193"/>
      <c r="E273" s="193"/>
      <c r="F273" s="191">
        <f t="shared" si="4"/>
        <v>0</v>
      </c>
      <c r="G273" s="213"/>
    </row>
    <row r="274" spans="1:7" ht="15.75" customHeight="1">
      <c r="A274" s="184" t="s">
        <v>781</v>
      </c>
      <c r="B274" s="184" t="s">
        <v>787</v>
      </c>
      <c r="C274" s="193">
        <v>0</v>
      </c>
      <c r="D274" s="193"/>
      <c r="E274" s="193"/>
      <c r="F274" s="191">
        <f t="shared" si="4"/>
        <v>0</v>
      </c>
    </row>
    <row r="275" spans="1:7" ht="15.75" customHeight="1">
      <c r="A275" s="184" t="s">
        <v>782</v>
      </c>
      <c r="B275" s="184" t="s">
        <v>788</v>
      </c>
      <c r="C275" s="193">
        <v>0</v>
      </c>
      <c r="D275" s="193"/>
      <c r="E275" s="193">
        <f>+Tranferencias!E25</f>
        <v>1266702.2</v>
      </c>
      <c r="F275" s="191">
        <f t="shared" si="4"/>
        <v>1266702.2</v>
      </c>
      <c r="G275" s="213"/>
    </row>
    <row r="276" spans="1:7" ht="20.25" customHeight="1">
      <c r="A276" s="184" t="s">
        <v>783</v>
      </c>
      <c r="B276" s="215" t="s">
        <v>789</v>
      </c>
      <c r="C276" s="193">
        <v>0</v>
      </c>
      <c r="D276" s="193"/>
      <c r="E276" s="193">
        <f>+Tranferencias!E26</f>
        <v>105558.51666666666</v>
      </c>
      <c r="F276" s="191">
        <f t="shared" si="4"/>
        <v>105558.51666666666</v>
      </c>
    </row>
    <row r="277" spans="1:7" ht="28.5" customHeight="1">
      <c r="A277" s="184" t="s">
        <v>784</v>
      </c>
      <c r="B277" s="215" t="s">
        <v>791</v>
      </c>
      <c r="C277" s="193">
        <v>0</v>
      </c>
      <c r="D277" s="193"/>
      <c r="E277" s="193">
        <f>+Tranferencias!E27</f>
        <v>57001.598999999995</v>
      </c>
      <c r="F277" s="191">
        <f t="shared" si="4"/>
        <v>57001.598999999995</v>
      </c>
    </row>
    <row r="278" spans="1:7" ht="15.75" customHeight="1">
      <c r="A278" s="184" t="s">
        <v>785</v>
      </c>
      <c r="B278" s="184" t="s">
        <v>792</v>
      </c>
      <c r="C278" s="193"/>
      <c r="D278" s="193"/>
      <c r="E278" s="193"/>
      <c r="F278" s="191">
        <f t="shared" si="4"/>
        <v>0</v>
      </c>
    </row>
    <row r="279" spans="1:7" ht="15.75" customHeight="1">
      <c r="A279" s="183"/>
      <c r="B279" s="186"/>
      <c r="C279" s="193"/>
      <c r="D279" s="193"/>
      <c r="E279" s="193"/>
      <c r="F279" s="191">
        <f t="shared" si="4"/>
        <v>0</v>
      </c>
    </row>
    <row r="280" spans="1:7" ht="28.5" customHeight="1">
      <c r="A280" s="181" t="s">
        <v>793</v>
      </c>
      <c r="B280" s="181" t="s">
        <v>794</v>
      </c>
      <c r="C280" s="193">
        <f>SUM(C281:C284)</f>
        <v>0</v>
      </c>
      <c r="D280" s="193">
        <f>SUM(D281:D284)</f>
        <v>0</v>
      </c>
      <c r="E280" s="193">
        <f>SUM(E281:E284)</f>
        <v>0</v>
      </c>
      <c r="F280" s="191">
        <f t="shared" si="4"/>
        <v>0</v>
      </c>
    </row>
    <row r="281" spans="1:7" ht="15.75" customHeight="1">
      <c r="A281" s="184" t="s">
        <v>795</v>
      </c>
      <c r="B281" s="184" t="s">
        <v>799</v>
      </c>
      <c r="C281" s="193"/>
      <c r="D281" s="193"/>
      <c r="E281" s="193"/>
      <c r="F281" s="191">
        <f t="shared" si="4"/>
        <v>0</v>
      </c>
    </row>
    <row r="282" spans="1:7" ht="15.75" customHeight="1">
      <c r="A282" s="184" t="s">
        <v>796</v>
      </c>
      <c r="B282" s="184" t="s">
        <v>800</v>
      </c>
      <c r="C282" s="193"/>
      <c r="D282" s="193"/>
      <c r="E282" s="193"/>
      <c r="F282" s="191">
        <f t="shared" si="4"/>
        <v>0</v>
      </c>
    </row>
    <row r="283" spans="1:7" ht="15.75" customHeight="1">
      <c r="A283" s="184" t="s">
        <v>797</v>
      </c>
      <c r="B283" s="184" t="s">
        <v>801</v>
      </c>
      <c r="C283" s="193"/>
      <c r="D283" s="193"/>
      <c r="E283" s="193"/>
      <c r="F283" s="191">
        <f t="shared" si="4"/>
        <v>0</v>
      </c>
    </row>
    <row r="284" spans="1:7" ht="15.75" customHeight="1">
      <c r="A284" s="184" t="s">
        <v>798</v>
      </c>
      <c r="B284" s="184" t="s">
        <v>802</v>
      </c>
      <c r="C284" s="193"/>
      <c r="D284" s="193"/>
      <c r="E284" s="193"/>
      <c r="F284" s="191">
        <f t="shared" si="4"/>
        <v>0</v>
      </c>
    </row>
    <row r="285" spans="1:7" ht="15.75" customHeight="1">
      <c r="A285" s="184"/>
      <c r="B285" s="184"/>
      <c r="C285" s="193"/>
      <c r="D285" s="193"/>
      <c r="E285" s="193"/>
      <c r="F285" s="191">
        <f t="shared" si="4"/>
        <v>0</v>
      </c>
    </row>
    <row r="286" spans="1:7" ht="15.75" customHeight="1">
      <c r="A286" s="181" t="s">
        <v>803</v>
      </c>
      <c r="B286" s="181" t="s">
        <v>804</v>
      </c>
      <c r="C286" s="193">
        <f>SUM(C287)</f>
        <v>0</v>
      </c>
      <c r="D286" s="193">
        <f>SUM(D287)</f>
        <v>0</v>
      </c>
      <c r="E286" s="193">
        <f>SUM(E287)</f>
        <v>0</v>
      </c>
      <c r="F286" s="191">
        <f t="shared" si="4"/>
        <v>0</v>
      </c>
    </row>
    <row r="287" spans="1:7" ht="15.75" customHeight="1">
      <c r="A287" s="184" t="s">
        <v>806</v>
      </c>
      <c r="B287" s="184" t="s">
        <v>805</v>
      </c>
      <c r="C287" s="193"/>
      <c r="D287" s="193"/>
      <c r="E287" s="193"/>
      <c r="F287" s="191">
        <f t="shared" si="4"/>
        <v>0</v>
      </c>
    </row>
    <row r="288" spans="1:7" ht="15.75" customHeight="1">
      <c r="A288" s="310"/>
      <c r="B288" s="308"/>
      <c r="C288" s="309"/>
      <c r="D288" s="309"/>
      <c r="E288" s="309"/>
      <c r="F288" s="191">
        <f t="shared" si="4"/>
        <v>0</v>
      </c>
    </row>
    <row r="289" spans="1:6" ht="15.75" customHeight="1">
      <c r="A289" s="189" t="s">
        <v>280</v>
      </c>
      <c r="B289" s="189" t="s">
        <v>281</v>
      </c>
      <c r="C289" s="205">
        <f>SUM(C290:C291)</f>
        <v>0</v>
      </c>
      <c r="D289" s="205">
        <f>SUM(D290:D291)</f>
        <v>0</v>
      </c>
      <c r="E289" s="205">
        <f>SUM(E290:E291)</f>
        <v>0</v>
      </c>
      <c r="F289" s="191">
        <f t="shared" si="4"/>
        <v>0</v>
      </c>
    </row>
    <row r="290" spans="1:6" ht="15.75" customHeight="1">
      <c r="A290" s="184" t="s">
        <v>807</v>
      </c>
      <c r="B290" s="184" t="s">
        <v>809</v>
      </c>
      <c r="C290" s="193"/>
      <c r="D290" s="193"/>
      <c r="E290" s="193"/>
      <c r="F290" s="191">
        <f t="shared" si="4"/>
        <v>0</v>
      </c>
    </row>
    <row r="291" spans="1:6" ht="15.75" customHeight="1">
      <c r="A291" s="184" t="s">
        <v>808</v>
      </c>
      <c r="B291" s="184" t="s">
        <v>810</v>
      </c>
      <c r="C291" s="193"/>
      <c r="D291" s="193"/>
      <c r="E291" s="193"/>
      <c r="F291" s="191">
        <f t="shared" si="4"/>
        <v>0</v>
      </c>
    </row>
    <row r="292" spans="1:6" ht="15.75" customHeight="1">
      <c r="A292" s="183"/>
      <c r="B292" s="186"/>
      <c r="C292" s="193"/>
      <c r="D292" s="193"/>
      <c r="E292" s="193"/>
      <c r="F292" s="191">
        <f t="shared" si="4"/>
        <v>0</v>
      </c>
    </row>
    <row r="293" spans="1:6" ht="15.75" customHeight="1">
      <c r="A293" s="181" t="s">
        <v>282</v>
      </c>
      <c r="B293" s="181" t="s">
        <v>283</v>
      </c>
      <c r="C293" s="193">
        <f>SUM(C294:C295)</f>
        <v>0</v>
      </c>
      <c r="D293" s="193">
        <f>SUM(D294:D295)</f>
        <v>0</v>
      </c>
      <c r="E293" s="193">
        <f>SUM(E294:E295)</f>
        <v>0</v>
      </c>
      <c r="F293" s="191">
        <f t="shared" si="4"/>
        <v>0</v>
      </c>
    </row>
    <row r="294" spans="1:6" ht="15.75" customHeight="1">
      <c r="A294" s="184" t="s">
        <v>811</v>
      </c>
      <c r="B294" s="184" t="s">
        <v>813</v>
      </c>
      <c r="C294" s="193"/>
      <c r="D294" s="193"/>
      <c r="E294" s="193"/>
      <c r="F294" s="191">
        <f t="shared" si="4"/>
        <v>0</v>
      </c>
    </row>
    <row r="295" spans="1:6" ht="15.75" customHeight="1">
      <c r="A295" s="184" t="s">
        <v>812</v>
      </c>
      <c r="B295" s="184" t="s">
        <v>814</v>
      </c>
      <c r="C295" s="193"/>
      <c r="D295" s="193"/>
      <c r="E295" s="193"/>
      <c r="F295" s="191">
        <f t="shared" si="4"/>
        <v>0</v>
      </c>
    </row>
    <row r="296" spans="1:6" ht="15.75" customHeight="1">
      <c r="A296" s="183"/>
      <c r="B296" s="186"/>
      <c r="C296" s="193"/>
      <c r="D296" s="193"/>
      <c r="E296" s="193"/>
      <c r="F296" s="191">
        <f t="shared" si="4"/>
        <v>0</v>
      </c>
    </row>
    <row r="297" spans="1:6" ht="15.75" customHeight="1">
      <c r="A297" s="181">
        <v>7</v>
      </c>
      <c r="B297" s="181" t="s">
        <v>833</v>
      </c>
      <c r="C297" s="193">
        <f>+C298+C307+C310+C316+C319</f>
        <v>0</v>
      </c>
      <c r="D297" s="193">
        <f>+D298+D307+D310+D316+D319</f>
        <v>0</v>
      </c>
      <c r="E297" s="193">
        <f>+E298+E307+E310+E316+E319</f>
        <v>0</v>
      </c>
      <c r="F297" s="191">
        <f t="shared" si="4"/>
        <v>0</v>
      </c>
    </row>
    <row r="298" spans="1:6" ht="15.75" customHeight="1">
      <c r="A298" s="181" t="s">
        <v>284</v>
      </c>
      <c r="B298" s="181" t="s">
        <v>285</v>
      </c>
      <c r="C298" s="193">
        <f>SUM(C299:C305)</f>
        <v>0</v>
      </c>
      <c r="D298" s="193">
        <f>SUM(D299:D305)</f>
        <v>0</v>
      </c>
      <c r="E298" s="193">
        <f>SUM(E299:E305)</f>
        <v>0</v>
      </c>
      <c r="F298" s="191">
        <f t="shared" si="4"/>
        <v>0</v>
      </c>
    </row>
    <row r="299" spans="1:6" ht="15.75" customHeight="1">
      <c r="A299" s="184" t="s">
        <v>834</v>
      </c>
      <c r="B299" s="184" t="s">
        <v>840</v>
      </c>
      <c r="C299" s="193"/>
      <c r="D299" s="193"/>
      <c r="E299" s="193"/>
      <c r="F299" s="191">
        <f t="shared" si="4"/>
        <v>0</v>
      </c>
    </row>
    <row r="300" spans="1:6" ht="15.75" customHeight="1">
      <c r="A300" s="184" t="s">
        <v>835</v>
      </c>
      <c r="B300" s="184" t="s">
        <v>841</v>
      </c>
      <c r="C300" s="193"/>
      <c r="D300" s="193"/>
      <c r="E300" s="193"/>
      <c r="F300" s="191">
        <f t="shared" si="4"/>
        <v>0</v>
      </c>
    </row>
    <row r="301" spans="1:6" ht="15.75" customHeight="1">
      <c r="A301" s="184" t="s">
        <v>836</v>
      </c>
      <c r="B301" s="184" t="s">
        <v>842</v>
      </c>
      <c r="C301" s="193"/>
      <c r="D301" s="193"/>
      <c r="E301" s="193"/>
      <c r="F301" s="191">
        <f t="shared" si="4"/>
        <v>0</v>
      </c>
    </row>
    <row r="302" spans="1:6" ht="15.75" customHeight="1">
      <c r="A302" s="184" t="s">
        <v>837</v>
      </c>
      <c r="B302" s="184" t="s">
        <v>843</v>
      </c>
      <c r="C302" s="193"/>
      <c r="D302" s="193"/>
      <c r="E302" s="193"/>
      <c r="F302" s="191">
        <f t="shared" si="4"/>
        <v>0</v>
      </c>
    </row>
    <row r="303" spans="1:6" ht="15.75" customHeight="1">
      <c r="A303" s="184"/>
      <c r="B303" s="184" t="s">
        <v>844</v>
      </c>
      <c r="C303" s="193"/>
      <c r="D303" s="193"/>
      <c r="E303" s="193"/>
      <c r="F303" s="191">
        <f t="shared" si="4"/>
        <v>0</v>
      </c>
    </row>
    <row r="304" spans="1:6" ht="15.75" customHeight="1">
      <c r="A304" s="184" t="s">
        <v>838</v>
      </c>
      <c r="B304" s="184" t="s">
        <v>845</v>
      </c>
      <c r="C304" s="193"/>
      <c r="D304" s="193"/>
      <c r="E304" s="193"/>
      <c r="F304" s="191">
        <f t="shared" si="4"/>
        <v>0</v>
      </c>
    </row>
    <row r="305" spans="1:6" ht="15.75" customHeight="1">
      <c r="A305" s="184" t="s">
        <v>839</v>
      </c>
      <c r="B305" s="184" t="s">
        <v>846</v>
      </c>
      <c r="C305" s="193"/>
      <c r="D305" s="193"/>
      <c r="E305" s="193"/>
      <c r="F305" s="191">
        <f t="shared" si="4"/>
        <v>0</v>
      </c>
    </row>
    <row r="306" spans="1:6" ht="15.75" customHeight="1">
      <c r="A306" s="183"/>
      <c r="B306" s="186"/>
      <c r="C306" s="193"/>
      <c r="D306" s="193"/>
      <c r="E306" s="193"/>
      <c r="F306" s="191">
        <f t="shared" si="4"/>
        <v>0</v>
      </c>
    </row>
    <row r="307" spans="1:6" ht="15.75" customHeight="1">
      <c r="A307" s="181" t="s">
        <v>847</v>
      </c>
      <c r="B307" s="181" t="s">
        <v>848</v>
      </c>
      <c r="C307" s="193">
        <f>SUM(C308)</f>
        <v>0</v>
      </c>
      <c r="D307" s="193">
        <f>SUM(D308)</f>
        <v>0</v>
      </c>
      <c r="E307" s="193">
        <f>SUM(E308)</f>
        <v>0</v>
      </c>
      <c r="F307" s="191">
        <f t="shared" si="4"/>
        <v>0</v>
      </c>
    </row>
    <row r="308" spans="1:6" ht="15.75" customHeight="1">
      <c r="A308" s="184" t="s">
        <v>850</v>
      </c>
      <c r="B308" s="184" t="s">
        <v>849</v>
      </c>
      <c r="C308" s="193"/>
      <c r="D308" s="193"/>
      <c r="E308" s="193"/>
      <c r="F308" s="191">
        <f t="shared" si="4"/>
        <v>0</v>
      </c>
    </row>
    <row r="309" spans="1:6" ht="10.5" customHeight="1">
      <c r="A309" s="183"/>
      <c r="B309" s="186"/>
      <c r="C309" s="193"/>
      <c r="D309" s="193"/>
      <c r="E309" s="193"/>
      <c r="F309" s="191">
        <f t="shared" si="4"/>
        <v>0</v>
      </c>
    </row>
    <row r="310" spans="1:6" ht="15.75" customHeight="1">
      <c r="A310" s="189" t="s">
        <v>178</v>
      </c>
      <c r="B310" s="189" t="s">
        <v>851</v>
      </c>
      <c r="C310" s="193">
        <f>SUM(C311:C314)</f>
        <v>0</v>
      </c>
      <c r="D310" s="193">
        <f>SUM(D311:D314)</f>
        <v>0</v>
      </c>
      <c r="E310" s="193">
        <f>SUM(E311:E314)</f>
        <v>0</v>
      </c>
      <c r="F310" s="191">
        <f t="shared" si="4"/>
        <v>0</v>
      </c>
    </row>
    <row r="311" spans="1:6" ht="15.75" customHeight="1">
      <c r="A311" s="184" t="s">
        <v>852</v>
      </c>
      <c r="B311" s="184" t="s">
        <v>856</v>
      </c>
      <c r="C311" s="193"/>
      <c r="D311" s="193"/>
      <c r="E311" s="193"/>
      <c r="F311" s="191">
        <f t="shared" si="4"/>
        <v>0</v>
      </c>
    </row>
    <row r="312" spans="1:6" ht="15.75" customHeight="1">
      <c r="A312" s="184" t="s">
        <v>853</v>
      </c>
      <c r="B312" s="184" t="s">
        <v>857</v>
      </c>
      <c r="C312" s="193"/>
      <c r="D312" s="193"/>
      <c r="E312" s="193"/>
      <c r="F312" s="191">
        <f t="shared" si="4"/>
        <v>0</v>
      </c>
    </row>
    <row r="313" spans="1:6" ht="15.75" customHeight="1">
      <c r="A313" s="184" t="s">
        <v>854</v>
      </c>
      <c r="B313" s="184" t="s">
        <v>858</v>
      </c>
      <c r="C313" s="193"/>
      <c r="D313" s="193"/>
      <c r="E313" s="193"/>
      <c r="F313" s="191">
        <f t="shared" si="4"/>
        <v>0</v>
      </c>
    </row>
    <row r="314" spans="1:6" ht="15.75" customHeight="1">
      <c r="A314" s="184" t="s">
        <v>855</v>
      </c>
      <c r="B314" s="184" t="s">
        <v>859</v>
      </c>
      <c r="C314" s="193"/>
      <c r="D314" s="193"/>
      <c r="E314" s="193"/>
      <c r="F314" s="191">
        <f t="shared" si="4"/>
        <v>0</v>
      </c>
    </row>
    <row r="315" spans="1:6" ht="10.5" customHeight="1">
      <c r="A315" s="183"/>
      <c r="B315" s="186"/>
      <c r="C315" s="193"/>
      <c r="D315" s="193"/>
      <c r="E315" s="193"/>
      <c r="F315" s="191">
        <f t="shared" si="4"/>
        <v>0</v>
      </c>
    </row>
    <row r="316" spans="1:6" ht="15.75" customHeight="1">
      <c r="A316" s="181" t="s">
        <v>860</v>
      </c>
      <c r="B316" s="181" t="s">
        <v>861</v>
      </c>
      <c r="C316" s="193">
        <f>+C317</f>
        <v>0</v>
      </c>
      <c r="D316" s="193">
        <f>+D317</f>
        <v>0</v>
      </c>
      <c r="E316" s="193">
        <f>+E317</f>
        <v>0</v>
      </c>
      <c r="F316" s="191">
        <f t="shared" si="4"/>
        <v>0</v>
      </c>
    </row>
    <row r="317" spans="1:6" ht="15.75" customHeight="1">
      <c r="A317" s="184" t="s">
        <v>863</v>
      </c>
      <c r="B317" s="184" t="s">
        <v>862</v>
      </c>
      <c r="C317" s="193"/>
      <c r="D317" s="193"/>
      <c r="E317" s="193"/>
      <c r="F317" s="191">
        <f t="shared" si="4"/>
        <v>0</v>
      </c>
    </row>
    <row r="318" spans="1:6" ht="9.75" customHeight="1">
      <c r="A318" s="183"/>
      <c r="B318" s="186"/>
      <c r="C318" s="193"/>
      <c r="D318" s="193"/>
      <c r="E318" s="193"/>
      <c r="F318" s="191">
        <f t="shared" si="4"/>
        <v>0</v>
      </c>
    </row>
    <row r="319" spans="1:6" ht="15.75" customHeight="1">
      <c r="A319" s="181" t="s">
        <v>286</v>
      </c>
      <c r="B319" s="181" t="s">
        <v>287</v>
      </c>
      <c r="C319" s="193">
        <f>SUM(C320:C321)</f>
        <v>0</v>
      </c>
      <c r="D319" s="193">
        <f>SUM(D320:D321)</f>
        <v>0</v>
      </c>
      <c r="E319" s="193">
        <f>SUM(E320:E321)</f>
        <v>0</v>
      </c>
      <c r="F319" s="191">
        <f t="shared" si="4"/>
        <v>0</v>
      </c>
    </row>
    <row r="320" spans="1:6" ht="15.75" customHeight="1">
      <c r="A320" s="184" t="s">
        <v>864</v>
      </c>
      <c r="B320" s="184" t="s">
        <v>866</v>
      </c>
      <c r="C320" s="193"/>
      <c r="D320" s="193"/>
      <c r="E320" s="193"/>
      <c r="F320" s="191">
        <f t="shared" si="4"/>
        <v>0</v>
      </c>
    </row>
    <row r="321" spans="1:6" ht="15.75" customHeight="1">
      <c r="A321" s="184" t="s">
        <v>865</v>
      </c>
      <c r="B321" s="184" t="s">
        <v>867</v>
      </c>
      <c r="C321" s="193"/>
      <c r="D321" s="193"/>
      <c r="E321" s="193"/>
      <c r="F321" s="191">
        <f t="shared" si="4"/>
        <v>0</v>
      </c>
    </row>
    <row r="322" spans="1:6" ht="10.5" customHeight="1">
      <c r="A322" s="184"/>
      <c r="B322" s="184"/>
      <c r="C322" s="193"/>
      <c r="D322" s="193"/>
      <c r="E322" s="193"/>
      <c r="F322" s="191">
        <f t="shared" si="4"/>
        <v>0</v>
      </c>
    </row>
    <row r="323" spans="1:6" ht="15.75" customHeight="1">
      <c r="A323" s="181">
        <v>8</v>
      </c>
      <c r="B323" s="181" t="s">
        <v>868</v>
      </c>
      <c r="C323" s="193">
        <f>+C324+C330</f>
        <v>6163513.5239999993</v>
      </c>
      <c r="D323" s="193">
        <f>+D324+D330</f>
        <v>0</v>
      </c>
      <c r="E323" s="193">
        <f>+E324+E330</f>
        <v>0</v>
      </c>
      <c r="F323" s="191">
        <f t="shared" si="4"/>
        <v>6163513.5239999993</v>
      </c>
    </row>
    <row r="324" spans="1:6" ht="15.75" customHeight="1">
      <c r="A324" s="181" t="s">
        <v>288</v>
      </c>
      <c r="B324" s="181" t="s">
        <v>289</v>
      </c>
      <c r="C324" s="193">
        <f>SUM(C325:C328)</f>
        <v>0</v>
      </c>
      <c r="D324" s="193">
        <f>SUM(D325:D328)</f>
        <v>0</v>
      </c>
      <c r="E324" s="193">
        <f>SUM(E325:E328)</f>
        <v>0</v>
      </c>
      <c r="F324" s="191">
        <f t="shared" si="4"/>
        <v>0</v>
      </c>
    </row>
    <row r="325" spans="1:6" ht="15.75" customHeight="1">
      <c r="A325" s="184" t="s">
        <v>869</v>
      </c>
      <c r="B325" s="184" t="s">
        <v>873</v>
      </c>
      <c r="C325" s="193"/>
      <c r="D325" s="193"/>
      <c r="E325" s="193"/>
      <c r="F325" s="191">
        <f t="shared" si="4"/>
        <v>0</v>
      </c>
    </row>
    <row r="326" spans="1:6" ht="15.75" customHeight="1">
      <c r="A326" s="184" t="s">
        <v>870</v>
      </c>
      <c r="B326" s="184" t="s">
        <v>874</v>
      </c>
      <c r="C326" s="193"/>
      <c r="D326" s="193"/>
      <c r="E326" s="193"/>
      <c r="F326" s="191">
        <f t="shared" si="4"/>
        <v>0</v>
      </c>
    </row>
    <row r="327" spans="1:6" ht="15.75" customHeight="1">
      <c r="A327" s="184" t="s">
        <v>871</v>
      </c>
      <c r="B327" s="184" t="s">
        <v>875</v>
      </c>
      <c r="C327" s="193"/>
      <c r="D327" s="193"/>
      <c r="E327" s="193"/>
      <c r="F327" s="191">
        <f t="shared" si="4"/>
        <v>0</v>
      </c>
    </row>
    <row r="328" spans="1:6" ht="15.75" customHeight="1">
      <c r="A328" s="188" t="s">
        <v>872</v>
      </c>
      <c r="B328" s="188" t="s">
        <v>876</v>
      </c>
      <c r="C328" s="285"/>
      <c r="D328" s="285"/>
      <c r="E328" s="285"/>
      <c r="F328" s="191">
        <f t="shared" si="4"/>
        <v>0</v>
      </c>
    </row>
    <row r="329" spans="1:6" ht="10.5" customHeight="1">
      <c r="A329" s="310"/>
      <c r="B329" s="308"/>
      <c r="C329" s="309"/>
      <c r="D329" s="309"/>
      <c r="E329" s="309"/>
      <c r="F329" s="191">
        <f t="shared" ref="F329:F347" si="5">+C329+D329+E329</f>
        <v>0</v>
      </c>
    </row>
    <row r="330" spans="1:6" ht="15.75" customHeight="1">
      <c r="A330" s="189" t="s">
        <v>290</v>
      </c>
      <c r="B330" s="189" t="s">
        <v>291</v>
      </c>
      <c r="C330" s="205">
        <f>SUM(C331:C338)</f>
        <v>6163513.5239999993</v>
      </c>
      <c r="D330" s="205">
        <f>SUM(D331:D338)</f>
        <v>0</v>
      </c>
      <c r="E330" s="205">
        <f>SUM(E331:E338)</f>
        <v>0</v>
      </c>
      <c r="F330" s="191">
        <f t="shared" si="5"/>
        <v>6163513.5239999993</v>
      </c>
    </row>
    <row r="331" spans="1:6" ht="15.75" customHeight="1">
      <c r="A331" s="184" t="s">
        <v>877</v>
      </c>
      <c r="B331" s="184" t="s">
        <v>885</v>
      </c>
      <c r="C331" s="193"/>
      <c r="D331" s="193"/>
      <c r="E331" s="193"/>
      <c r="F331" s="191">
        <f t="shared" si="5"/>
        <v>0</v>
      </c>
    </row>
    <row r="332" spans="1:6" ht="15.75" customHeight="1">
      <c r="A332" s="184" t="s">
        <v>878</v>
      </c>
      <c r="B332" s="184" t="s">
        <v>886</v>
      </c>
      <c r="C332" s="193"/>
      <c r="D332" s="193"/>
      <c r="E332" s="193"/>
      <c r="F332" s="191">
        <f t="shared" si="5"/>
        <v>0</v>
      </c>
    </row>
    <row r="333" spans="1:6" ht="15.75" customHeight="1">
      <c r="A333" s="184" t="s">
        <v>879</v>
      </c>
      <c r="B333" s="184" t="s">
        <v>887</v>
      </c>
      <c r="C333" s="193"/>
      <c r="D333" s="193"/>
      <c r="E333" s="193"/>
      <c r="F333" s="191">
        <f t="shared" si="5"/>
        <v>0</v>
      </c>
    </row>
    <row r="334" spans="1:6" ht="15.75" customHeight="1">
      <c r="A334" s="184" t="s">
        <v>880</v>
      </c>
      <c r="B334" s="184" t="s">
        <v>888</v>
      </c>
      <c r="C334" s="193"/>
      <c r="D334" s="193"/>
      <c r="E334" s="193"/>
      <c r="F334" s="191">
        <f t="shared" si="5"/>
        <v>0</v>
      </c>
    </row>
    <row r="335" spans="1:6" ht="15.75" customHeight="1">
      <c r="A335" s="184" t="s">
        <v>881</v>
      </c>
      <c r="B335" s="184" t="s">
        <v>892</v>
      </c>
      <c r="C335" s="193"/>
      <c r="D335" s="193"/>
      <c r="E335" s="193">
        <v>0</v>
      </c>
      <c r="F335" s="191">
        <f t="shared" si="5"/>
        <v>0</v>
      </c>
    </row>
    <row r="336" spans="1:6" ht="15.75" customHeight="1">
      <c r="A336" s="184" t="s">
        <v>882</v>
      </c>
      <c r="B336" s="184" t="s">
        <v>889</v>
      </c>
      <c r="C336" s="193">
        <f>+'Deuda Interna'!D12</f>
        <v>6163513.5239999993</v>
      </c>
      <c r="D336" s="193"/>
      <c r="E336" s="193"/>
      <c r="F336" s="191">
        <f t="shared" si="5"/>
        <v>6163513.5239999993</v>
      </c>
    </row>
    <row r="337" spans="1:6" ht="15.75" customHeight="1">
      <c r="A337" s="184" t="s">
        <v>883</v>
      </c>
      <c r="B337" s="184" t="s">
        <v>890</v>
      </c>
      <c r="C337" s="193"/>
      <c r="D337" s="193"/>
      <c r="E337" s="193"/>
      <c r="F337" s="191">
        <f t="shared" si="5"/>
        <v>0</v>
      </c>
    </row>
    <row r="338" spans="1:6" ht="15.75" customHeight="1">
      <c r="A338" s="184" t="s">
        <v>884</v>
      </c>
      <c r="B338" s="184" t="s">
        <v>891</v>
      </c>
      <c r="C338" s="193"/>
      <c r="D338" s="193"/>
      <c r="E338" s="193"/>
      <c r="F338" s="191">
        <f t="shared" si="5"/>
        <v>0</v>
      </c>
    </row>
    <row r="339" spans="1:6" ht="10.5" customHeight="1">
      <c r="A339" s="310"/>
      <c r="B339" s="308"/>
      <c r="C339" s="309"/>
      <c r="D339" s="309"/>
      <c r="E339" s="309"/>
      <c r="F339" s="191">
        <f t="shared" si="5"/>
        <v>0</v>
      </c>
    </row>
    <row r="340" spans="1:6" ht="15.75" customHeight="1">
      <c r="A340" s="189">
        <v>9</v>
      </c>
      <c r="B340" s="189" t="s">
        <v>893</v>
      </c>
      <c r="C340" s="205">
        <f>+C341+C345</f>
        <v>0</v>
      </c>
      <c r="D340" s="205">
        <f>+D341+D345</f>
        <v>0</v>
      </c>
      <c r="E340" s="205">
        <f>+E341+E345</f>
        <v>0</v>
      </c>
      <c r="F340" s="191">
        <f t="shared" si="5"/>
        <v>0</v>
      </c>
    </row>
    <row r="341" spans="1:6" ht="15.75" customHeight="1">
      <c r="A341" s="181" t="s">
        <v>292</v>
      </c>
      <c r="B341" s="181" t="s">
        <v>293</v>
      </c>
      <c r="C341" s="193"/>
      <c r="D341" s="193"/>
      <c r="E341" s="193"/>
      <c r="F341" s="191">
        <f t="shared" si="5"/>
        <v>0</v>
      </c>
    </row>
    <row r="342" spans="1:6" ht="15.75" customHeight="1">
      <c r="A342" s="184" t="s">
        <v>894</v>
      </c>
      <c r="B342" s="184" t="s">
        <v>897</v>
      </c>
      <c r="C342" s="193"/>
      <c r="D342" s="193"/>
      <c r="E342" s="193"/>
      <c r="F342" s="191">
        <f t="shared" si="5"/>
        <v>0</v>
      </c>
    </row>
    <row r="343" spans="1:6" ht="15.75" customHeight="1">
      <c r="A343" s="184"/>
      <c r="B343" s="184"/>
      <c r="C343" s="193"/>
      <c r="D343" s="193"/>
      <c r="E343" s="193"/>
      <c r="F343" s="191">
        <f t="shared" si="5"/>
        <v>0</v>
      </c>
    </row>
    <row r="344" spans="1:6" ht="10.5" customHeight="1">
      <c r="A344" s="183"/>
      <c r="B344" s="186"/>
      <c r="C344" s="193"/>
      <c r="D344" s="193"/>
      <c r="E344" s="193"/>
      <c r="F344" s="191">
        <f t="shared" si="5"/>
        <v>0</v>
      </c>
    </row>
    <row r="345" spans="1:6" ht="15.75" customHeight="1">
      <c r="A345" s="181" t="s">
        <v>294</v>
      </c>
      <c r="B345" s="181" t="s">
        <v>295</v>
      </c>
      <c r="C345" s="193">
        <f>+C346+C347</f>
        <v>0</v>
      </c>
      <c r="D345" s="193">
        <f>+D346+D347</f>
        <v>0</v>
      </c>
      <c r="E345" s="193">
        <f>+E346+E347</f>
        <v>0</v>
      </c>
      <c r="F345" s="191">
        <f t="shared" si="5"/>
        <v>0</v>
      </c>
    </row>
    <row r="346" spans="1:6" ht="15.75" customHeight="1">
      <c r="A346" s="184" t="s">
        <v>900</v>
      </c>
      <c r="B346" s="184" t="s">
        <v>898</v>
      </c>
      <c r="C346" s="193">
        <v>0</v>
      </c>
      <c r="D346" s="193"/>
      <c r="E346" s="193">
        <v>0</v>
      </c>
      <c r="F346" s="191">
        <f t="shared" si="5"/>
        <v>0</v>
      </c>
    </row>
    <row r="347" spans="1:6" ht="15.75" customHeight="1">
      <c r="A347" s="184" t="s">
        <v>901</v>
      </c>
      <c r="B347" s="184" t="s">
        <v>899</v>
      </c>
      <c r="C347" s="193"/>
      <c r="D347" s="193"/>
      <c r="E347" s="193"/>
      <c r="F347" s="191">
        <f t="shared" si="5"/>
        <v>0</v>
      </c>
    </row>
    <row r="348" spans="1:6" ht="15.75" customHeight="1">
      <c r="A348" s="178"/>
      <c r="B348" s="8"/>
      <c r="C348" s="192"/>
      <c r="D348" s="192"/>
    </row>
    <row r="349" spans="1:6" ht="15.75" customHeight="1">
      <c r="A349" s="178"/>
      <c r="B349" s="8"/>
      <c r="C349" s="192"/>
      <c r="D349" s="192"/>
    </row>
  </sheetData>
  <mergeCells count="6">
    <mergeCell ref="C6:E6"/>
    <mergeCell ref="A1:F1"/>
    <mergeCell ref="A2:F2"/>
    <mergeCell ref="A4:F4"/>
    <mergeCell ref="A5:F5"/>
    <mergeCell ref="A3:F3"/>
  </mergeCells>
  <phoneticPr fontId="3" type="noConversion"/>
  <hyperlinks>
    <hyperlink ref="A10" location="_0.01_Remuneraciones_básicas" display="_0.01_Remuneraciones_básicas" xr:uid="{00000000-0004-0000-0300-000000000000}"/>
    <hyperlink ref="B10" location="_0.01_Remuneraciones_básicas" display="_0.01_Remuneraciones_básicas" xr:uid="{00000000-0004-0000-0300-000001000000}"/>
    <hyperlink ref="A11" location="_0.01.01_Sueldos_para_cargos fijos" display="_0.01.01_Sueldos_para_cargos fijos" xr:uid="{00000000-0004-0000-0300-000002000000}"/>
    <hyperlink ref="A12" location="_0.01.02_Jornales" display="_0.01.02_Jornales" xr:uid="{00000000-0004-0000-0300-000003000000}"/>
    <hyperlink ref="A13" location="_0.01.03___Servicios especiales" display="_0.01.03___Servicios especiales" xr:uid="{00000000-0004-0000-0300-000004000000}"/>
    <hyperlink ref="A14" location="_0.01.04___  Sueldos a base de comis" display="_0.01.04___  Sueldos a base de comis" xr:uid="{00000000-0004-0000-0300-000005000000}"/>
    <hyperlink ref="A15" location="_0.01.05_Suplencias" display="_0.01.05_Suplencias" xr:uid="{00000000-0004-0000-0300-000006000000}"/>
    <hyperlink ref="A17" location="OLE_LINK3" display="OLE_LINK3" xr:uid="{00000000-0004-0000-0300-000007000000}"/>
    <hyperlink ref="B17" location="OLE_LINK3" display="OLE_LINK3" xr:uid="{00000000-0004-0000-0300-000008000000}"/>
    <hyperlink ref="A18" location="_0.02.01_Tiempo_extraordinario" display="_0.02.01_Tiempo_extraordinario" xr:uid="{00000000-0004-0000-0300-000009000000}"/>
    <hyperlink ref="A19" location="_0.02.02_Recargo_de_funciones" display="_0.02.02_Recargo_de_funciones" xr:uid="{00000000-0004-0000-0300-00000A000000}"/>
    <hyperlink ref="A20" location="_0.02.03___  Disponibilidad laboral" display="_0.02.03___  Disponibilidad laboral" xr:uid="{00000000-0004-0000-0300-00000B000000}"/>
    <hyperlink ref="A21" location="_Hlt506206007" display="_Hlt506206007" xr:uid="{00000000-0004-0000-0300-00000C000000}"/>
    <hyperlink ref="A22" location="_0.01.05__" display="_0.01.05__" xr:uid="{00000000-0004-0000-0300-00000D000000}"/>
    <hyperlink ref="A24" location="OLE_LINK4" display="OLE_LINK4" xr:uid="{00000000-0004-0000-0300-00000E000000}"/>
    <hyperlink ref="B24" location="OLE_LINK4" display="OLE_LINK4" xr:uid="{00000000-0004-0000-0300-00000F000000}"/>
    <hyperlink ref="A25" location="_Hlt506206189" display="_Hlt506206189" xr:uid="{00000000-0004-0000-0300-000010000000}"/>
    <hyperlink ref="A26" location="_0.03.02_Restricción_al_ejercicio  l" display="_0.03.02_Restricción_al_ejercicio  l" xr:uid="{00000000-0004-0000-0300-000011000000}"/>
    <hyperlink ref="A27" location="_0.03.03___ Decimotercer mes" display="_0.03.03___ Decimotercer mes" xr:uid="{00000000-0004-0000-0300-000012000000}"/>
    <hyperlink ref="A28" location="_0.03.04___ Salario escolar" display="_0.03.04___ Salario escolar" xr:uid="{00000000-0004-0000-0300-000013000000}"/>
    <hyperlink ref="A29" location="_0.03.99__" display="_0.03.99__" xr:uid="{00000000-0004-0000-0300-000014000000}"/>
    <hyperlink ref="A32" location="OLE_LINK5" display="OLE_LINK5" xr:uid="{00000000-0004-0000-0300-000015000000}"/>
    <hyperlink ref="A33" location="_Contribución_Patronal_al" display="_Contribución_Patronal_al" xr:uid="{00000000-0004-0000-0300-000016000000}"/>
    <hyperlink ref="A34" location="_0.04.02__" display="_0.04.02__" xr:uid="{00000000-0004-0000-0300-000017000000}"/>
    <hyperlink ref="A35" location="_0.04.03___     Contribución Patrona" display="_0.04.03___     Contribución Patrona" xr:uid="{00000000-0004-0000-0300-000018000000}"/>
    <hyperlink ref="A37" location="_0.04.05___ Contribución Patronal al" display="_0.04.05___ Contribución Patronal al" xr:uid="{00000000-0004-0000-0300-000019000000}"/>
    <hyperlink ref="A39" location="_0.04.05___ Contribución Patronal al" display="_0.04.05___ Contribución Patronal al" xr:uid="{00000000-0004-0000-0300-00001A000000}"/>
    <hyperlink ref="A41" location="_0.05.01___Contribución Patronal al " display="_0.05.01___Contribución Patronal al " xr:uid="{00000000-0004-0000-0300-00001B000000}"/>
    <hyperlink ref="A42" location="_0.05.02__" display="_0.05.02__" xr:uid="{00000000-0004-0000-0300-00001C000000}"/>
    <hyperlink ref="A43" location="_0.05.03___ Aporte Patronal al Fondo" display="_0.05.03___ Aporte Patronal al Fondo" xr:uid="{00000000-0004-0000-0300-00001D000000}"/>
    <hyperlink ref="A45" location="_0.05.05___Contribución  patronal a " display="_0.05.05___Contribución  patronal a " xr:uid="{00000000-0004-0000-0300-00001E000000}"/>
    <hyperlink ref="A47" location="OLE_LINK8" display="OLE_LINK8" xr:uid="{00000000-0004-0000-0300-00001F000000}"/>
    <hyperlink ref="A48" location="_0.99.01___Gastos de representación " display="_0.99.01___Gastos de representación " xr:uid="{00000000-0004-0000-0300-000020000000}"/>
    <hyperlink ref="A51" location="_1___4" display="_1___4" xr:uid="{00000000-0004-0000-0300-000021000000}"/>
    <hyperlink ref="A52" location="_1.01__" display="_1.01__" xr:uid="{00000000-0004-0000-0300-000022000000}"/>
    <hyperlink ref="B52" location="_1.01__" display="_1.01__" xr:uid="{00000000-0004-0000-0300-000023000000}"/>
    <hyperlink ref="A53" location="_1.01.01___Alquiler de edificios, lo" display="_1.01.01___Alquiler de edificios, lo" xr:uid="{00000000-0004-0000-0300-000024000000}"/>
    <hyperlink ref="A54" location="_Hlt506254949" display="_Hlt506254949" xr:uid="{00000000-0004-0000-0300-000025000000}"/>
    <hyperlink ref="A55" location="_1.01.03___ Alquiler de equipo de có" display="_1.01.03___ Alquiler de equipo de có" xr:uid="{00000000-0004-0000-0300-000026000000}"/>
    <hyperlink ref="A56" location="_1.01.04___Alquiler y derechos para " display="_1.01.04___Alquiler y derechos para " xr:uid="{00000000-0004-0000-0300-000027000000}"/>
    <hyperlink ref="A57" location="_1.01.99___Otros alquileres" display="_1.01.99___Otros alquileres" xr:uid="{00000000-0004-0000-0300-000028000000}"/>
    <hyperlink ref="A59" location="_1.02__" display="_1.02__" xr:uid="{00000000-0004-0000-0300-000029000000}"/>
    <hyperlink ref="B59" location="_1.02__" display="_1.02__" xr:uid="{00000000-0004-0000-0300-00002A000000}"/>
    <hyperlink ref="A60" location="_1.02.01___Servicio de agua y alcant" display="_1.02.01___Servicio de agua y alcant" xr:uid="{00000000-0004-0000-0300-00002B000000}"/>
    <hyperlink ref="A61" location="_1.02.02__" display="_1.02.02__" xr:uid="{00000000-0004-0000-0300-00002C000000}"/>
    <hyperlink ref="A62" location="_1.02.03___ Servicio de correo" display="_1.02.03___ Servicio de correo" xr:uid="{00000000-0004-0000-0300-00002D000000}"/>
    <hyperlink ref="A63" location="_1.02.04___ Servicio de telecomunica" display="_1.02.04___ Servicio de telecomunica" xr:uid="{00000000-0004-0000-0300-00002E000000}"/>
    <hyperlink ref="A64" location="_1.02.99___Otros servicios básicos" display="_1.02.99___Otros servicios básicos" xr:uid="{00000000-0004-0000-0300-00002F000000}"/>
    <hyperlink ref="A66" location="_1.03__" display="_1.03__" xr:uid="{00000000-0004-0000-0300-000030000000}"/>
    <hyperlink ref="B66" location="_1.03__" display="_1.03__" xr:uid="{00000000-0004-0000-0300-000031000000}"/>
    <hyperlink ref="A67" location="_Hlt506255274" display="_Hlt506255274" xr:uid="{00000000-0004-0000-0300-000032000000}"/>
    <hyperlink ref="A68" location="_1.03.02__" display="_1.03.02__" xr:uid="{00000000-0004-0000-0300-000033000000}"/>
    <hyperlink ref="A69" location="_1.03.03___Impresión, encuadernación" display="_1.03.03___Impresión, encuadernación" xr:uid="{00000000-0004-0000-0300-000034000000}"/>
    <hyperlink ref="A70" location="_1.03.04___   Transporte de bienes" display="_1.03.04___   Transporte de bienes" xr:uid="{00000000-0004-0000-0300-000035000000}"/>
    <hyperlink ref="A71" location="_1.03.05__" display="_1.03.05__" xr:uid="{00000000-0004-0000-0300-000036000000}"/>
    <hyperlink ref="A72" location="_1.03.06___Comisiones y gastos por s" display="_1.03.06___Comisiones y gastos por s" xr:uid="{00000000-0004-0000-0300-000037000000}"/>
    <hyperlink ref="A73" location="_1.03.07___Servicios de transferenci" display="_1.03.07___Servicios de transferenci" xr:uid="{00000000-0004-0000-0300-000038000000}"/>
    <hyperlink ref="A75" location="_1.04__" display="_1.04__" xr:uid="{00000000-0004-0000-0300-000039000000}"/>
    <hyperlink ref="B75" location="_1.04__" display="_1.04__" xr:uid="{00000000-0004-0000-0300-00003A000000}"/>
    <hyperlink ref="A76" location="_1.04.01___Servicios médicos y de la" display="_1.04.01___Servicios médicos y de la" xr:uid="{00000000-0004-0000-0300-00003B000000}"/>
    <hyperlink ref="A77" location="_1.04.02___Servicios jurídicos" display="_1.04.02___Servicios jurídicos" xr:uid="{00000000-0004-0000-0300-00003C000000}"/>
    <hyperlink ref="A78" location="_1.04.03___Servicios de ingeniería" display="_1.04.03___Servicios de ingeniería" xr:uid="{00000000-0004-0000-0300-00003D000000}"/>
    <hyperlink ref="A79" location="_1.04.04___Servicios en ciencias eco" display="_1.04.04___Servicios en ciencias eco" xr:uid="{00000000-0004-0000-0300-00003E000000}"/>
    <hyperlink ref="A80" location="_1.04.05___Servicios de desarrollo d" display="_1.04.05___Servicios de desarrollo d" xr:uid="{00000000-0004-0000-0300-00003F000000}"/>
    <hyperlink ref="A81" location="_1.04.06___Servicios generales" display="_1.04.06___Servicios generales" xr:uid="{00000000-0004-0000-0300-000040000000}"/>
    <hyperlink ref="A82" location="_1.04.99___Otros servicios de gestió" display="_1.04.99___Otros servicios de gestió" xr:uid="{00000000-0004-0000-0300-000041000000}"/>
    <hyperlink ref="A84" location="_1.05__" display="_1.05__" xr:uid="{00000000-0004-0000-0300-000042000000}"/>
    <hyperlink ref="B84" location="_1.05__" display="_1.05__" xr:uid="{00000000-0004-0000-0300-000043000000}"/>
    <hyperlink ref="A85" location="_1.05.01___Transporte dentro del paí" display="_1.05.01___Transporte dentro del paí" xr:uid="{00000000-0004-0000-0300-000044000000}"/>
    <hyperlink ref="A86" location="_1.05.02___  Viáticos dentro del paí" display="_1.05.02___  Viáticos dentro del paí" xr:uid="{00000000-0004-0000-0300-000045000000}"/>
    <hyperlink ref="A87" location="_1.05.03__" display="_1.05.03__" xr:uid="{00000000-0004-0000-0300-000046000000}"/>
    <hyperlink ref="A88" location="_1.05.04___Viáticos en el exterior" display="_1.05.04___Viáticos en el exterior" xr:uid="{00000000-0004-0000-0300-000047000000}"/>
    <hyperlink ref="A90" location="_1.06__" display="_1.06__" xr:uid="{00000000-0004-0000-0300-000048000000}"/>
    <hyperlink ref="B90" location="_1.06__" display="_1.06__" xr:uid="{00000000-0004-0000-0300-000049000000}"/>
    <hyperlink ref="A91" location="_1.06.01__Seguros" display="_1.06.01__Seguros" xr:uid="{00000000-0004-0000-0300-00004A000000}"/>
    <hyperlink ref="A92" location="_1.06.02___Reaseguros" display="_1.06.02___Reaseguros" xr:uid="{00000000-0004-0000-0300-00004B000000}"/>
    <hyperlink ref="A93" location="_1.06.03___Obligaciones por contrato" display="_1.06.03___Obligaciones por contrato" xr:uid="{00000000-0004-0000-0300-00004C000000}"/>
    <hyperlink ref="A95" location="_1.07__" display="_1.07__" xr:uid="{00000000-0004-0000-0300-00004D000000}"/>
    <hyperlink ref="B95" location="_1.07__" display="_1.07__" xr:uid="{00000000-0004-0000-0300-00004E000000}"/>
    <hyperlink ref="A96" location="_Hlt506361970" display="_Hlt506361970" xr:uid="{00000000-0004-0000-0300-00004F000000}"/>
    <hyperlink ref="A97" location="_1.07.02___Actividades protocolarias" display="_1.07.02___Actividades protocolarias" xr:uid="{00000000-0004-0000-0300-000050000000}"/>
    <hyperlink ref="A98" location="_1.07.03___Gastos de representación " display="_1.07.03___Gastos de representación " xr:uid="{00000000-0004-0000-0300-000051000000}"/>
    <hyperlink ref="A100" location="_1.08__" display="_1.08__" xr:uid="{00000000-0004-0000-0300-000052000000}"/>
    <hyperlink ref="B100" location="_1.08__" display="_1.08__" xr:uid="{00000000-0004-0000-0300-000053000000}"/>
    <hyperlink ref="A101" location="_1.08.01___Mantenimiento de edificio" display="_1.08.01___Mantenimiento de edificio" xr:uid="{00000000-0004-0000-0300-000054000000}"/>
    <hyperlink ref="A102" location="_1.08.02___Mantenimiento de vías de " display="_1.08.02___Mantenimiento de vías de " xr:uid="{00000000-0004-0000-0300-000055000000}"/>
    <hyperlink ref="A103" location="_1.08.03___Mantenimiento de instalac" display="_1.08.03___Mantenimiento de instalac" xr:uid="{00000000-0004-0000-0300-000056000000}"/>
    <hyperlink ref="A104" location="_1.08.04___Mantenimiento y reparació" display="_1.08.04___Mantenimiento y reparació" xr:uid="{00000000-0004-0000-0300-000057000000}"/>
    <hyperlink ref="A105" location="_1.08.05___Mantenimiento y reparació" display="_1.08.05___Mantenimiento y reparació" xr:uid="{00000000-0004-0000-0300-000058000000}"/>
    <hyperlink ref="A106" location="_1.08.06___  Mantenimiento y reparac" display="_1.08.06___  Mantenimiento y reparac" xr:uid="{00000000-0004-0000-0300-000059000000}"/>
    <hyperlink ref="A107" location="_1.08.07___Mantenimiento y reparació" display="_1.08.07___Mantenimiento y reparació" xr:uid="{00000000-0004-0000-0300-00005A000000}"/>
    <hyperlink ref="A108" location="_1.08.08___Mantenimiento y reparació" display="_1.08.08___Mantenimiento y reparació" xr:uid="{00000000-0004-0000-0300-00005B000000}"/>
    <hyperlink ref="A109" location="_1.08.99___Mantenimiento y reparació" display="_1.08.99___Mantenimiento y reparació" xr:uid="{00000000-0004-0000-0300-00005C000000}"/>
    <hyperlink ref="A111" location="_1.09___Impuestos" display="_1.09___Impuestos" xr:uid="{00000000-0004-0000-0300-00005D000000}"/>
    <hyperlink ref="B111" location="_1.09___Impuestos" display="_1.09___Impuestos" xr:uid="{00000000-0004-0000-0300-00005E000000}"/>
    <hyperlink ref="A112" location="_1.09.01___Impuestos sobre ingresos " display="_1.09.01___Impuestos sobre ingresos " xr:uid="{00000000-0004-0000-0300-00005F000000}"/>
    <hyperlink ref="A113" location="_1.09.02___Impuestos sobre bienes in_1" display="_1.09.02___Impuestos sobre bienes in_1" xr:uid="{00000000-0004-0000-0300-000060000000}"/>
    <hyperlink ref="A114" location="_1.09.03___Impuestos de patentes" display="_1.09.03___Impuestos de patentes" xr:uid="{00000000-0004-0000-0300-000061000000}"/>
    <hyperlink ref="A115" location="_1.09.99__" display="_1.09.99__" xr:uid="{00000000-0004-0000-0300-000062000000}"/>
    <hyperlink ref="A117" location="_1.99__" display="_1.99__" xr:uid="{00000000-0004-0000-0300-000063000000}"/>
    <hyperlink ref="B117" location="_1.99__" display="_1.99__" xr:uid="{00000000-0004-0000-0300-000064000000}"/>
    <hyperlink ref="A118" location="_1.99.01___  Servicios de regulación" display="_1.99.01___  Servicios de regulación" xr:uid="{00000000-0004-0000-0300-000065000000}"/>
    <hyperlink ref="A119" location="_1.99.02___  Intereses moratorios y " display="_1.99.02___  Intereses moratorios y " xr:uid="{00000000-0004-0000-0300-000066000000}"/>
    <hyperlink ref="A120" location="_1.99.03___  Gastos de oficinas en e" display="_1.99.03___  Gastos de oficinas en e" xr:uid="{00000000-0004-0000-0300-000067000000}"/>
    <hyperlink ref="A121" location="_1.99.04__" display="_1.99.04__" xr:uid="{00000000-0004-0000-0300-000068000000}"/>
    <hyperlink ref="A122" location="_1.99.05___  Deducibles" display="_1.99.05___  Deducibles" xr:uid="{00000000-0004-0000-0300-000069000000}"/>
    <hyperlink ref="A123" location="_Hlt506356377" display="_Hlt506356377" xr:uid="{00000000-0004-0000-0300-00006A000000}"/>
    <hyperlink ref="A125" location="_2___4" display="_2___4" xr:uid="{00000000-0004-0000-0300-00006B000000}"/>
    <hyperlink ref="A126" location="_2.01_Productos_químicos" display="_2.01_Productos_químicos" xr:uid="{00000000-0004-0000-0300-00006C000000}"/>
    <hyperlink ref="B126" location="_2.01_Productos_químicos" display="_2.01_Productos_químicos" xr:uid="{00000000-0004-0000-0300-00006D000000}"/>
    <hyperlink ref="A127" location="_2.01.01___   Combustibles y lubrica_1" display="_2.01.01___   Combustibles y lubrica_1" xr:uid="{00000000-0004-0000-0300-00006E000000}"/>
    <hyperlink ref="A128" location="_2.01.02___  Productos farmacéuticos" display="_2.01.02___  Productos farmacéuticos" xr:uid="{00000000-0004-0000-0300-00006F000000}"/>
    <hyperlink ref="A129" location="_2.01.03___  Productos veterinarios" display="_2.01.03___  Productos veterinarios" xr:uid="{00000000-0004-0000-0300-000070000000}"/>
    <hyperlink ref="A130" location="_2.01.04___ Tintas, pinturas y diluy" display="_2.01.04___ Tintas, pinturas y diluy" xr:uid="{00000000-0004-0000-0300-000071000000}"/>
    <hyperlink ref="A131" location="_2.01.99___  Otros productos químico" display="_2.01.99___  Otros productos químico" xr:uid="{00000000-0004-0000-0300-000072000000}"/>
    <hyperlink ref="A133" location="_2.02___1" display="_2.02___1" xr:uid="{00000000-0004-0000-0300-000073000000}"/>
    <hyperlink ref="B133" location="_2.02___1" display="_2.02___1" xr:uid="{00000000-0004-0000-0300-000074000000}"/>
    <hyperlink ref="A134" location="_2.02.01__" display="_2.02.01__" xr:uid="{00000000-0004-0000-0300-000075000000}"/>
    <hyperlink ref="A135" location="_2.02.02___Productos agroforestales" display="_2.02.02___Productos agroforestales" xr:uid="{00000000-0004-0000-0300-000076000000}"/>
    <hyperlink ref="A136" location="_2.02.03___Alimentos y bebidas" display="_2.02.03___Alimentos y bebidas" xr:uid="{00000000-0004-0000-0300-000077000000}"/>
    <hyperlink ref="A137" location="_2.02.04___1" display="_2.02.04___1" xr:uid="{00000000-0004-0000-0300-000078000000}"/>
    <hyperlink ref="A140" location="_2.03__" display="_2.03__" xr:uid="{00000000-0004-0000-0300-000079000000}"/>
    <hyperlink ref="A141" location="_2.03.01___   Materiales y productos_1" display="_2.03.01___   Materiales y productos_1" xr:uid="{00000000-0004-0000-0300-00007A000000}"/>
    <hyperlink ref="A142" location="_2.03.02___   Materiales y productos_1" display="_2.03.02___   Materiales y productos_1" xr:uid="{00000000-0004-0000-0300-00007B000000}"/>
    <hyperlink ref="A143" location="_2.03.03___    Madera y sus derivado_1" display="_2.03.03___    Madera y sus derivado_1" xr:uid="{00000000-0004-0000-0300-00007C000000}"/>
    <hyperlink ref="A144" location="_2.03.04___  Materiales y productos _1" display="_2.03.04___  Materiales y productos _1" xr:uid="{00000000-0004-0000-0300-00007D000000}"/>
    <hyperlink ref="A145" location="_2.03.05___    Materiales y producto_1" display="_2.03.05___    Materiales y producto_1" xr:uid="{00000000-0004-0000-0300-00007E000000}"/>
    <hyperlink ref="A146" location="_Hlt506356393" display="_Hlt506356393" xr:uid="{00000000-0004-0000-0300-00007F000000}"/>
    <hyperlink ref="A147" location="_2.03.99___   Otros materiales y pro_1" display="_2.03.99___   Otros materiales y pro_1" xr:uid="{00000000-0004-0000-0300-000080000000}"/>
    <hyperlink ref="A149" location="_2.04__Herramientas," display="_2.04__Herramientas," xr:uid="{00000000-0004-0000-0300-000081000000}"/>
    <hyperlink ref="B149" location="_2.04__Herramientas," display="_2.04__Herramientas," xr:uid="{00000000-0004-0000-0300-000082000000}"/>
    <hyperlink ref="A150" location="_2.04.01___   Herramientas e instrum_1" display="_2.04.01___   Herramientas e instrum_1" xr:uid="{00000000-0004-0000-0300-000083000000}"/>
    <hyperlink ref="A151" location="_2.04.02__" display="_2.04.02__" xr:uid="{00000000-0004-0000-0300-000084000000}"/>
    <hyperlink ref="A153" location="_2.05__" display="_2.05__" xr:uid="{00000000-0004-0000-0300-000085000000}"/>
    <hyperlink ref="A154" location="_2.05.01___Materia prima_1" display="_2.05.01___Materia prima_1" xr:uid="{00000000-0004-0000-0300-000086000000}"/>
    <hyperlink ref="A155" location="_2.05.02___Productos terminados_1" display="_2.05.02___Productos terminados_1" xr:uid="{00000000-0004-0000-0300-000087000000}"/>
    <hyperlink ref="A156" location="_2.05.03___Energía eléctrica_1" display="_2.05.03___Energía eléctrica_1" xr:uid="{00000000-0004-0000-0300-000088000000}"/>
    <hyperlink ref="A157" location="_Hlt506373174" display="_Hlt506373174" xr:uid="{00000000-0004-0000-0300-000089000000}"/>
    <hyperlink ref="A159" location="_2.99___1" display="_2.99___1" xr:uid="{00000000-0004-0000-0300-00008A000000}"/>
    <hyperlink ref="B159" location="_2.99___1" display="_2.99___1" xr:uid="{00000000-0004-0000-0300-00008B000000}"/>
    <hyperlink ref="A160" location="_2.99.01__" display="_2.99.01__" xr:uid="{00000000-0004-0000-0300-00008C000000}"/>
    <hyperlink ref="A161" location="_2.99.02___ Útiles y materiales médi" display="_2.99.02___ Útiles y materiales médi" xr:uid="{00000000-0004-0000-0300-00008D000000}"/>
    <hyperlink ref="A162" location="_2.99.03__" display="_2.99.03__" xr:uid="{00000000-0004-0000-0300-00008E000000}"/>
    <hyperlink ref="A163" location="_2.99.04__" display="_2.99.04__" xr:uid="{00000000-0004-0000-0300-00008F000000}"/>
    <hyperlink ref="A164" location="_2.99.05___ Útiles y materiales de l" display="_2.99.05___ Útiles y materiales de l" xr:uid="{00000000-0004-0000-0300-000090000000}"/>
    <hyperlink ref="A165" location="_2.99.06__" display="_2.99.06__" xr:uid="{00000000-0004-0000-0300-000091000000}"/>
    <hyperlink ref="A166" location="_2.99.07__" display="_2.99.07__" xr:uid="{00000000-0004-0000-0300-000092000000}"/>
    <hyperlink ref="A167" location="_2.99.99__" display="_2.99.99__" xr:uid="{00000000-0004-0000-0300-000093000000}"/>
    <hyperlink ref="A169" location="_3___1" display="_3___1" xr:uid="{00000000-0004-0000-0300-000094000000}"/>
    <hyperlink ref="A170" location="_3.01_Intereses_sobre" display="_3.01_Intereses_sobre" xr:uid="{00000000-0004-0000-0300-000095000000}"/>
    <hyperlink ref="B170" location="_3.01_Intereses_sobre" display="_3.01_Intereses_sobre" xr:uid="{00000000-0004-0000-0300-000096000000}"/>
    <hyperlink ref="A171" location="_3.01.01__" display="_3.01.01__" xr:uid="{00000000-0004-0000-0300-000097000000}"/>
    <hyperlink ref="A172" location="_3.01.02___1" display="_3.01.02___1" xr:uid="{00000000-0004-0000-0300-000098000000}"/>
    <hyperlink ref="A173" location="_3.01.03__Intereses" display="_3.01.03__Intereses" xr:uid="{00000000-0004-0000-0300-000099000000}"/>
    <hyperlink ref="A174" location="_3.01.04__Intereses" display="_3.01.04__Intereses" xr:uid="{00000000-0004-0000-0300-00009A000000}"/>
    <hyperlink ref="A176" location="_3.02_Intereses_sobre" display="_3.02_Intereses_sobre" xr:uid="{00000000-0004-0000-0300-00009B000000}"/>
    <hyperlink ref="B176" location="_3.02_Intereses_sobre" display="_3.02_Intereses_sobre" xr:uid="{00000000-0004-0000-0300-00009C000000}"/>
    <hyperlink ref="A177" location="_3.02.01__" display="_3.02.01__" xr:uid="{00000000-0004-0000-0300-00009D000000}"/>
    <hyperlink ref="A178" location="_3.02.02__" display="_3.02.02__" xr:uid="{00000000-0004-0000-0300-00009E000000}"/>
    <hyperlink ref="A179" location="_3.02.03___1" display="_3.02.03___1" xr:uid="{00000000-0004-0000-0300-00009F000000}"/>
    <hyperlink ref="A180" location="_3.02.04___Intereses sobre préstamos" display="_3.02.04___Intereses sobre préstamos" xr:uid="{00000000-0004-0000-0300-0000A0000000}"/>
    <hyperlink ref="A181" location="_3.02.05__" display="_3.02.05__" xr:uid="{00000000-0004-0000-0300-0000A1000000}"/>
    <hyperlink ref="A182" location="_3.02.06__" display="_3.02.06__" xr:uid="{00000000-0004-0000-0300-0000A2000000}"/>
    <hyperlink ref="A183" location="_3.02.07__" display="_3.02.07__" xr:uid="{00000000-0004-0000-0300-0000A3000000}"/>
    <hyperlink ref="A184" location="_3.02.08__" display="_3.02.08__" xr:uid="{00000000-0004-0000-0300-0000A4000000}"/>
    <hyperlink ref="A185" location="_3.02.08__" display="_3.02.08__" xr:uid="{00000000-0004-0000-0300-0000A5000000}"/>
    <hyperlink ref="B186" location="_3.03__" display="_3.03__" xr:uid="{00000000-0004-0000-0300-0000A6000000}"/>
    <hyperlink ref="A187" location="_3.03.01__" display="_3.03.01__" xr:uid="{00000000-0004-0000-0300-0000A7000000}"/>
    <hyperlink ref="A188" location="_3.03.99___Intereses sobre otras obl" display="_3.03.99___Intereses sobre otras obl" xr:uid="{00000000-0004-0000-0300-0000A8000000}"/>
    <hyperlink ref="A190" location="_3.04_Comisiones_y" display="_3.04_Comisiones_y" xr:uid="{00000000-0004-0000-0300-0000A9000000}"/>
    <hyperlink ref="B190" location="_3.04_Comisiones_y" display="_3.04_Comisiones_y" xr:uid="{00000000-0004-0000-0300-0000AA000000}"/>
    <hyperlink ref="A191" location="_3.99.01__Comisiones" display="_3.99.01__Comisiones" xr:uid="{00000000-0004-0000-0300-0000AB000000}"/>
    <hyperlink ref="A192" location="_3.99.02__Comisiones" display="_3.99.02__Comisiones" xr:uid="{00000000-0004-0000-0300-0000AC000000}"/>
    <hyperlink ref="A193" location="_3.99.03__" display="_3.99.03__" xr:uid="{00000000-0004-0000-0300-0000AD000000}"/>
    <hyperlink ref="A194" location="_3.99.04__" display="_3.99.04__" xr:uid="{00000000-0004-0000-0300-0000AE000000}"/>
    <hyperlink ref="A195" location="_3.99.05__" display="_3.99.05__" xr:uid="{00000000-0004-0000-0300-0000AF000000}"/>
    <hyperlink ref="A197" location="_4__" display="_4__" xr:uid="{00000000-0004-0000-0300-0000B0000000}"/>
    <hyperlink ref="A198" location="_4.01_Préstamos_1" display="_4.01_Préstamos_1" xr:uid="{00000000-0004-0000-0300-0000B1000000}"/>
    <hyperlink ref="B198" location="_4.01_Préstamos_1" display="_4.01_Préstamos_1" xr:uid="{00000000-0004-0000-0300-0000B2000000}"/>
    <hyperlink ref="A199" location="_4.01.01__" display="_4.01.01__" xr:uid="{00000000-0004-0000-0300-0000B3000000}"/>
    <hyperlink ref="A200" location="_4.01.02__" display="_4.01.02__" xr:uid="{00000000-0004-0000-0300-0000B4000000}"/>
    <hyperlink ref="A201" location="_4.01.03__" display="_4.01.03__" xr:uid="{00000000-0004-0000-0300-0000B5000000}"/>
    <hyperlink ref="A202" location="_4.01.04__" display="_4.01.04__" xr:uid="{00000000-0004-0000-0300-0000B6000000}"/>
    <hyperlink ref="A203" location="_4.01.05__" display="_4.01.05__" xr:uid="{00000000-0004-0000-0300-0000B7000000}"/>
    <hyperlink ref="A204" location="_4.01.06__" display="_4.01.06__" xr:uid="{00000000-0004-0000-0300-0000B8000000}"/>
    <hyperlink ref="A205" location="_4.01.07__" display="_4.01.07__" xr:uid="{00000000-0004-0000-0300-0000B9000000}"/>
    <hyperlink ref="A206" location="_4.01.08__" display="_4.01.08__" xr:uid="{00000000-0004-0000-0300-0000BA000000}"/>
    <hyperlink ref="A208" location="_4.02_Adquisición_" display="_4.02_Adquisición_" xr:uid="{00000000-0004-0000-0300-0000BB000000}"/>
    <hyperlink ref="B208" location="_4.02_Adquisición_" display="_4.02_Adquisición_" xr:uid="{00000000-0004-0000-0300-0000BC000000}"/>
    <hyperlink ref="A209" location="_4.02.01__" display="_4.02.01__" xr:uid="{00000000-0004-0000-0300-0000BD000000}"/>
    <hyperlink ref="A210" location="_4.02.02__" display="_4.02.02__" xr:uid="{00000000-0004-0000-0300-0000BE000000}"/>
    <hyperlink ref="A211" location="_4.02.03__" display="_4.02.03__" xr:uid="{00000000-0004-0000-0300-0000BF000000}"/>
    <hyperlink ref="A212" location="_4.02.04__" display="_4.02.04__" xr:uid="{00000000-0004-0000-0300-0000C0000000}"/>
    <hyperlink ref="A213" location="_4.02.05___1" display="_4.02.05___1" xr:uid="{00000000-0004-0000-0300-0000C1000000}"/>
    <hyperlink ref="A214" location="_4.02.06__" display="_4.02.06__" xr:uid="{00000000-0004-0000-0300-0000C2000000}"/>
    <hyperlink ref="A215" location="_4.02.07__" display="_4.02.07__" xr:uid="{00000000-0004-0000-0300-0000C3000000}"/>
    <hyperlink ref="A216" location="_4.02.08__" display="_4.02.08__" xr:uid="{00000000-0004-0000-0300-0000C4000000}"/>
    <hyperlink ref="A218" location="_4.99.99__" display="_4.99.99__" xr:uid="{00000000-0004-0000-0300-0000C5000000}"/>
    <hyperlink ref="B218" location="_4.99.99__" display="_4.99.99__" xr:uid="{00000000-0004-0000-0300-0000C6000000}"/>
    <hyperlink ref="A219" location="_4.99.01__" display="_4.99.01__" xr:uid="{00000000-0004-0000-0300-0000C7000000}"/>
    <hyperlink ref="A220" location="_4.99.99__" display="_4.99.99__" xr:uid="{00000000-0004-0000-0300-0000C8000000}"/>
    <hyperlink ref="A222" location="_5___1" display="_5___1" xr:uid="{00000000-0004-0000-0300-0000C9000000}"/>
    <hyperlink ref="A223" location="_5.01___1" display="_5.01___1" xr:uid="{00000000-0004-0000-0300-0000CA000000}"/>
    <hyperlink ref="B223" location="_5.01___1" display="_5.01___1" xr:uid="{00000000-0004-0000-0300-0000CB000000}"/>
    <hyperlink ref="A224" location="_5.01.01__" display="_5.01.01__" xr:uid="{00000000-0004-0000-0300-0000CC000000}"/>
    <hyperlink ref="A225" location="_5.01.02___Equipo de transporte" display="_5.01.02___Equipo de transporte" xr:uid="{00000000-0004-0000-0300-0000CD000000}"/>
    <hyperlink ref="A226" location="_5.01.03__" display="_5.01.03__" xr:uid="{00000000-0004-0000-0300-0000CE000000}"/>
    <hyperlink ref="A227" location="_5.01.04___1" display="_5.01.04___1" xr:uid="{00000000-0004-0000-0300-0000CF000000}"/>
    <hyperlink ref="A228" location="_5.01.05__" display="_5.01.05__" xr:uid="{00000000-0004-0000-0300-0000D0000000}"/>
    <hyperlink ref="A229" location="_5.01.06__" display="_5.01.06__" xr:uid="{00000000-0004-0000-0300-0000D1000000}"/>
    <hyperlink ref="A230" location="_5.01.07___1" display="_5.01.07___1" xr:uid="{00000000-0004-0000-0300-0000D2000000}"/>
    <hyperlink ref="A231" location="_5.01.99__" display="_5.01.99__" xr:uid="{00000000-0004-0000-0300-0000D3000000}"/>
    <hyperlink ref="A233" location="_5.02_Construcciones,_adiciones" display="_5.02_Construcciones,_adiciones" xr:uid="{00000000-0004-0000-0300-0000D4000000}"/>
    <hyperlink ref="B233" location="_5.02_Construcciones,_adiciones" display="_5.02_Construcciones,_adiciones" xr:uid="{00000000-0004-0000-0300-0000D5000000}"/>
    <hyperlink ref="A234" location="_5.02.01___Edificios" display="_5.02.01___Edificios" xr:uid="{00000000-0004-0000-0300-0000D6000000}"/>
    <hyperlink ref="A235" location="_5.02.02__" display="_5.02.02__" xr:uid="{00000000-0004-0000-0300-0000D7000000}"/>
    <hyperlink ref="A236" location="_5.02.03___Vías férreas" display="_5.02.03___Vías férreas" xr:uid="{00000000-0004-0000-0300-0000D8000000}"/>
    <hyperlink ref="A237" location="_5.02.04___Obras marítimas y fluvial" display="_5.02.04___Obras marítimas y fluvial" xr:uid="{00000000-0004-0000-0300-0000D9000000}"/>
    <hyperlink ref="A238" location="_5.02.05__" display="_5.02.05__" xr:uid="{00000000-0004-0000-0300-0000DA000000}"/>
    <hyperlink ref="A239" location="_5.02.06__" display="_5.02.06__" xr:uid="{00000000-0004-0000-0300-0000DB000000}"/>
    <hyperlink ref="A240" location="_5.02.07__" display="_5.02.07__" xr:uid="{00000000-0004-0000-0300-0000DC000000}"/>
    <hyperlink ref="A241" location="_5.02.99__" display="_5.02.99__" xr:uid="{00000000-0004-0000-0300-0000DD000000}"/>
    <hyperlink ref="A243" location="_5.03__" display="_5.03__" xr:uid="{00000000-0004-0000-0300-0000DE000000}"/>
    <hyperlink ref="B243" location="_5.03__" display="_5.03__" xr:uid="{00000000-0004-0000-0300-0000DF000000}"/>
    <hyperlink ref="A244" location="_5.03.01__" display="_5.03.01__" xr:uid="{00000000-0004-0000-0300-0000E0000000}"/>
    <hyperlink ref="A245" location="_5.03.02__" display="_5.03.02__" xr:uid="{00000000-0004-0000-0300-0000E1000000}"/>
    <hyperlink ref="A246" location="_5.03.99__" display="_5.03.99__" xr:uid="{00000000-0004-0000-0300-0000E2000000}"/>
    <hyperlink ref="A248" location="_5.99__" display="_5.99__" xr:uid="{00000000-0004-0000-0300-0000E3000000}"/>
    <hyperlink ref="B248" location="_5.99__" display="_5.99__" xr:uid="{00000000-0004-0000-0300-0000E4000000}"/>
    <hyperlink ref="A249" location="_5.99.01___1" display="_5.99.01___1" xr:uid="{00000000-0004-0000-0300-0000E5000000}"/>
    <hyperlink ref="A250" location="_5.99.02__" display="_5.99.02__" xr:uid="{00000000-0004-0000-0300-0000E6000000}"/>
    <hyperlink ref="A251" location="_5.99.03__" display="_5.99.03__" xr:uid="{00000000-0004-0000-0300-0000E7000000}"/>
    <hyperlink ref="A252" location="_5.99.99__" display="_5.99.99__" xr:uid="{00000000-0004-0000-0300-0000E8000000}"/>
    <hyperlink ref="A254" location="_6_TRANSFERENCIAS_CORRIENTES_4" display="_6_TRANSFERENCIAS_CORRIENTES_4" xr:uid="{00000000-0004-0000-0300-0000E9000000}"/>
    <hyperlink ref="A255" location="_6.01__" display="_6.01__" xr:uid="{00000000-0004-0000-0300-0000EA000000}"/>
    <hyperlink ref="B255" location="_6.01__" display="_6.01__" xr:uid="{00000000-0004-0000-0300-0000EB000000}"/>
    <hyperlink ref="A256" location="_6.01.01__" display="_6.01.01__" xr:uid="{00000000-0004-0000-0300-0000EC000000}"/>
    <hyperlink ref="A257" location="_6.01.02__" display="_6.01.02__" xr:uid="{00000000-0004-0000-0300-0000ED000000}"/>
    <hyperlink ref="A258" location="_6.01.03__" display="_6.01.03__" xr:uid="{00000000-0004-0000-0300-0000EE000000}"/>
    <hyperlink ref="A259" location="_6.01.04__" display="_6.01.04__" xr:uid="{00000000-0004-0000-0300-0000EF000000}"/>
    <hyperlink ref="A260" location="_6.01.05__" display="_6.01.05__" xr:uid="{00000000-0004-0000-0300-0000F0000000}"/>
    <hyperlink ref="A261" location="_6.01.06__" display="_6.01.06__" xr:uid="{00000000-0004-0000-0300-0000F1000000}"/>
    <hyperlink ref="A262" location="_6.01.07__" display="_6.01.07__" xr:uid="{00000000-0004-0000-0300-0000F2000000}"/>
    <hyperlink ref="A263" location="_6.01.08__" display="_6.01.08__" xr:uid="{00000000-0004-0000-0300-0000F3000000}"/>
    <hyperlink ref="A264" location="_6.01.09__" display="_6.01.09__" xr:uid="{00000000-0004-0000-0300-0000F4000000}"/>
    <hyperlink ref="A266" location="_6.02___1" display="_6.02___1" xr:uid="{00000000-0004-0000-0300-0000F5000000}"/>
    <hyperlink ref="B266" location="_6.02___1" display="_6.02___1" xr:uid="{00000000-0004-0000-0300-0000F6000000}"/>
    <hyperlink ref="A267" location="_6.02.01__" display="_6.02.01__" xr:uid="{00000000-0004-0000-0300-0000F7000000}"/>
    <hyperlink ref="A268" location="_6.02.02__" display="_6.02.02__" xr:uid="{00000000-0004-0000-0300-0000F8000000}"/>
    <hyperlink ref="A269" location="_6.02.03__" display="_6.02.03__" xr:uid="{00000000-0004-0000-0300-0000F9000000}"/>
    <hyperlink ref="A270" location="_6.02.99__" display="_6.02.99__" xr:uid="{00000000-0004-0000-0300-0000FA000000}"/>
    <hyperlink ref="A272" location="_6.03__" display="_6.03__" xr:uid="{00000000-0004-0000-0300-0000FB000000}"/>
    <hyperlink ref="B272" location="_6.03__" display="_6.03__" xr:uid="{00000000-0004-0000-0300-0000FC000000}"/>
    <hyperlink ref="A273" location="_6.03.01___Prestaciones legales_1" display="_6.03.01___Prestaciones legales_1" xr:uid="{00000000-0004-0000-0300-0000FD000000}"/>
    <hyperlink ref="A274" location="_6.03.02__" display="_6.03.02__" xr:uid="{00000000-0004-0000-0300-0000FE000000}"/>
    <hyperlink ref="A275" location="_6.03.03__" display="_6.03.03__" xr:uid="{00000000-0004-0000-0300-0000FF000000}"/>
    <hyperlink ref="A276" location="_6.03.04__" display="_6.03.04__" xr:uid="{00000000-0004-0000-0300-000000010000}"/>
    <hyperlink ref="A277" location="_6.03.05__Cuota" display="_6.03.05__Cuota" xr:uid="{00000000-0004-0000-0300-000001010000}"/>
    <hyperlink ref="A278" location="_6.03.99___1" display="_6.03.99___1" xr:uid="{00000000-0004-0000-0300-000002010000}"/>
    <hyperlink ref="A280" location="_6.04__" display="_6.04__" xr:uid="{00000000-0004-0000-0300-000003010000}"/>
    <hyperlink ref="A281" location="_6.04.01__" display="_6.04.01__" xr:uid="{00000000-0004-0000-0300-000004010000}"/>
    <hyperlink ref="A282" location="_6.04.02__" display="_6.04.02__" xr:uid="{00000000-0004-0000-0300-000005010000}"/>
    <hyperlink ref="A283" location="_6.04.03___1" display="_6.04.03___1" xr:uid="{00000000-0004-0000-0300-000006010000}"/>
    <hyperlink ref="A284" location="_6.04.04__" display="_6.04.04__" xr:uid="{00000000-0004-0000-0300-000007010000}"/>
    <hyperlink ref="A286" location="_6.05__" display="_6.05__" xr:uid="{00000000-0004-0000-0300-000008010000}"/>
    <hyperlink ref="A287" location="_6.05.01__" display="_6.05.01__" xr:uid="{00000000-0004-0000-0300-000009010000}"/>
    <hyperlink ref="A289" location="_6.06__" display="_6.06__" xr:uid="{00000000-0004-0000-0300-00000A010000}"/>
    <hyperlink ref="B289" location="_6.06__" display="_6.06__" xr:uid="{00000000-0004-0000-0300-00000B010000}"/>
    <hyperlink ref="A290" location="_6.06.01___1" display="_6.06.01___1" xr:uid="{00000000-0004-0000-0300-00000C010000}"/>
    <hyperlink ref="A291" location="_6.06.02__" display="_6.06.02__" xr:uid="{00000000-0004-0000-0300-00000D010000}"/>
    <hyperlink ref="A293" location="_6.07__" display="_6.07__" xr:uid="{00000000-0004-0000-0300-00000E010000}"/>
    <hyperlink ref="B293" location="_6.07__" display="_6.07__" xr:uid="{00000000-0004-0000-0300-00000F010000}"/>
    <hyperlink ref="A294" location="_6.07.01__" display="_6.07.01__" xr:uid="{00000000-0004-0000-0300-000010010000}"/>
    <hyperlink ref="A295" location="_6.07.02___1" display="_6.07.02___1" xr:uid="{00000000-0004-0000-0300-000011010000}"/>
    <hyperlink ref="A297" location="_7__" display="_7__" xr:uid="{00000000-0004-0000-0300-000012010000}"/>
    <hyperlink ref="A298" location="_7.01__" display="_7.01__" xr:uid="{00000000-0004-0000-0300-000013010000}"/>
    <hyperlink ref="B298" location="_7.01__" display="_7.01__" xr:uid="{00000000-0004-0000-0300-000014010000}"/>
    <hyperlink ref="A299" location="_7.01.01__" display="_7.01.01__" xr:uid="{00000000-0004-0000-0300-000015010000}"/>
    <hyperlink ref="A300" location="_7.01.02__" display="_7.01.02__" xr:uid="{00000000-0004-0000-0300-000016010000}"/>
    <hyperlink ref="A301" location="_7.01.03__" display="_7.01.03__" xr:uid="{00000000-0004-0000-0300-000017010000}"/>
    <hyperlink ref="A302" location="_7.01.04__" display="_7.01.04__" xr:uid="{00000000-0004-0000-0300-000018010000}"/>
    <hyperlink ref="A304" location="_7.01.06__" display="_7.01.06__" xr:uid="{00000000-0004-0000-0300-000019010000}"/>
    <hyperlink ref="A305" location="_7.01.07__" display="_7.01.07__" xr:uid="{00000000-0004-0000-0300-00001A010000}"/>
    <hyperlink ref="A307" location="_7.02__" display="_7.02__" xr:uid="{00000000-0004-0000-0300-00001B010000}"/>
    <hyperlink ref="A308" location="_7.02.01__Transferencias" display="_7.02.01__Transferencias" xr:uid="{00000000-0004-0000-0300-00001C010000}"/>
    <hyperlink ref="A310" location="_7.03___1" display="_7.03___1" xr:uid="{00000000-0004-0000-0300-00001D010000}"/>
    <hyperlink ref="B310" location="_7.03___1" display="_7.03___1" xr:uid="{00000000-0004-0000-0300-00001E010000}"/>
    <hyperlink ref="A311" location="_7.03.01__" display="_7.03.01__" xr:uid="{00000000-0004-0000-0300-00001F010000}"/>
    <hyperlink ref="A312" location="_7.03.02__" display="_7.03.02__" xr:uid="{00000000-0004-0000-0300-000020010000}"/>
    <hyperlink ref="A313" location="_7.03.03__" display="_7.03.03__" xr:uid="{00000000-0004-0000-0300-000021010000}"/>
    <hyperlink ref="A314" location="_7.03.99_Transferencias_de" display="_7.03.99_Transferencias_de" xr:uid="{00000000-0004-0000-0300-000022010000}"/>
    <hyperlink ref="A316" location="_7.04___1" display="_7.04___1" xr:uid="{00000000-0004-0000-0300-000023010000}"/>
    <hyperlink ref="A317" location="_7.04.01__" display="_7.04.01__" xr:uid="{00000000-0004-0000-0300-000024010000}"/>
    <hyperlink ref="A319" location="_7.05__" display="_7.05__" xr:uid="{00000000-0004-0000-0300-000025010000}"/>
    <hyperlink ref="B319" location="_7.05__" display="_7.05__" xr:uid="{00000000-0004-0000-0300-000026010000}"/>
    <hyperlink ref="A320" location="_7.05.01_Transferencias_de" display="_7.05.01_Transferencias_de" xr:uid="{00000000-0004-0000-0300-000027010000}"/>
    <hyperlink ref="A321" location="_7.05.02__" display="_7.05.02__" xr:uid="{00000000-0004-0000-0300-000028010000}"/>
    <hyperlink ref="A323" location="_8_AMORTIZACION_2" display="_8_AMORTIZACION_2" xr:uid="{00000000-0004-0000-0300-000029010000}"/>
    <hyperlink ref="A324" location="_8.01_Amortización_de" display="_8.01_Amortización_de" xr:uid="{00000000-0004-0000-0300-00002A010000}"/>
    <hyperlink ref="B324" location="_8.01_Amortización_de" display="_8.01_Amortización_de" xr:uid="{00000000-0004-0000-0300-00002B010000}"/>
    <hyperlink ref="A325" location="_8.01.01__" display="_8.01.01__" xr:uid="{00000000-0004-0000-0300-00002C010000}"/>
    <hyperlink ref="A326" location="_8.01.02__" display="_8.01.02__" xr:uid="{00000000-0004-0000-0300-00002D010000}"/>
    <hyperlink ref="A327" location="_8.01.03___1" display="_8.01.03___1" xr:uid="{00000000-0004-0000-0300-00002E010000}"/>
    <hyperlink ref="A328" location="_8.01.04__" display="_8.01.04__" xr:uid="{00000000-0004-0000-0300-00002F010000}"/>
    <hyperlink ref="A330" location="_8.02_Amortización_de" display="_8.02_Amortización_de" xr:uid="{00000000-0004-0000-0300-000030010000}"/>
    <hyperlink ref="B330" location="_8.02_Amortización_de" display="_8.02_Amortización_de" xr:uid="{00000000-0004-0000-0300-000031010000}"/>
    <hyperlink ref="A331" location="_8.02.01__" display="_8.02.01__" xr:uid="{00000000-0004-0000-0300-000032010000}"/>
    <hyperlink ref="A332" location="_8.02.02__" display="_8.02.02__" xr:uid="{00000000-0004-0000-0300-000033010000}"/>
    <hyperlink ref="A333" location="_Amortización_de_préstamos" display="_Amortización_de_préstamos" xr:uid="{00000000-0004-0000-0300-000034010000}"/>
    <hyperlink ref="A334" location="_8.02.04__" display="_8.02.04__" xr:uid="{00000000-0004-0000-0300-000035010000}"/>
    <hyperlink ref="A335" location="_8.02.05__" display="_8.02.05__" xr:uid="{00000000-0004-0000-0300-000036010000}"/>
    <hyperlink ref="A336" location="_8.02.06__" display="_8.02.06__" xr:uid="{00000000-0004-0000-0300-000037010000}"/>
    <hyperlink ref="A337" location="_8.02.07__" display="_8.02.07__" xr:uid="{00000000-0004-0000-0300-000038010000}"/>
    <hyperlink ref="A338" location="_8.02.08__" display="_8.02.08__" xr:uid="{00000000-0004-0000-0300-000039010000}"/>
    <hyperlink ref="A340" location="_9___1" display="_9___1" xr:uid="{00000000-0004-0000-0300-00003A010000}"/>
    <hyperlink ref="A341" location="_Hlt506371758" display="_Hlt506371758" xr:uid="{00000000-0004-0000-0300-00003B010000}"/>
    <hyperlink ref="B341" location="_Hlt506371758" display="_Hlt506371758" xr:uid="{00000000-0004-0000-0300-00003C010000}"/>
    <hyperlink ref="A342" location="_9.01.03__" display="_9.01.03__" xr:uid="{00000000-0004-0000-0300-00003D010000}"/>
    <hyperlink ref="A345" location="_9.02__" display="_9.02__" xr:uid="{00000000-0004-0000-0300-00003E010000}"/>
    <hyperlink ref="B345" location="_9.02__" display="_9.02__" xr:uid="{00000000-0004-0000-0300-00003F010000}"/>
    <hyperlink ref="A346" location="_9.02.01__" display="_9.02.01__" xr:uid="{00000000-0004-0000-0300-000040010000}"/>
    <hyperlink ref="A347" location="_9.02.02__" display="_9.02.02__" xr:uid="{00000000-0004-0000-0300-000041010000}"/>
    <hyperlink ref="B9" location="_0__REMUNERACIONES" display="_0__REMUNERACIONES" xr:uid="{00000000-0004-0000-0300-000042010000}"/>
    <hyperlink ref="B11" location="_0.01.01_Sueldos_para_cargos fijos" display="_0.01.01_Sueldos_para_cargos fijos" xr:uid="{00000000-0004-0000-0300-000043010000}"/>
    <hyperlink ref="B12" location="_0.01.02_Jornales" display="_0.01.02_Jornales" xr:uid="{00000000-0004-0000-0300-000044010000}"/>
    <hyperlink ref="B13" location="_0.01.03___Servicios especiales" display="_0.01.03___Servicios especiales" xr:uid="{00000000-0004-0000-0300-000045010000}"/>
    <hyperlink ref="B14" location="_0.01.04___  Sueldos a base de comis" display="_0.01.04___  Sueldos a base de comis" xr:uid="{00000000-0004-0000-0300-000046010000}"/>
    <hyperlink ref="B15" location="_0.01.05_Suplencias" display="_0.01.05_Suplencias" xr:uid="{00000000-0004-0000-0300-000047010000}"/>
    <hyperlink ref="B18" location="_0.02.01_Tiempo_extraordinario" display="_0.02.01_Tiempo_extraordinario" xr:uid="{00000000-0004-0000-0300-000048010000}"/>
    <hyperlink ref="B19" location="_0.02.02_Recargo_de_funciones" display="_0.02.02_Recargo_de_funciones" xr:uid="{00000000-0004-0000-0300-000049010000}"/>
    <hyperlink ref="B20" location="_0.02.03___  Disponibilidad laboral" display="_0.02.03___  Disponibilidad laboral" xr:uid="{00000000-0004-0000-0300-00004A010000}"/>
    <hyperlink ref="B21" location="_Hlt506206007" display="_Hlt506206007" xr:uid="{00000000-0004-0000-0300-00004B010000}"/>
    <hyperlink ref="B22" location="_0.01.05__" display="_0.01.05__" xr:uid="{00000000-0004-0000-0300-00004C010000}"/>
    <hyperlink ref="B25" location="_Hlt506206189" display="_Hlt506206189" xr:uid="{00000000-0004-0000-0300-00004D010000}"/>
    <hyperlink ref="B26" location="_0.03.02_Restricción_al_ejercicio  l" display="_0.03.02_Restricción_al_ejercicio  l" xr:uid="{00000000-0004-0000-0300-00004E010000}"/>
    <hyperlink ref="B27" location="_0.03.03___ Decimotercer mes" display="_0.03.03___ Decimotercer mes" xr:uid="{00000000-0004-0000-0300-00004F010000}"/>
    <hyperlink ref="B28" location="_0.03.04___ Salario escolar" display="_0.03.04___ Salario escolar" xr:uid="{00000000-0004-0000-0300-000050010000}"/>
    <hyperlink ref="B29" location="_0.03.99__" display="_0.03.99__" xr:uid="{00000000-0004-0000-0300-000051010000}"/>
    <hyperlink ref="B33" location="_Contribución_Patronal_al" display="_Contribución_Patronal_al" xr:uid="{00000000-0004-0000-0300-000052010000}"/>
    <hyperlink ref="B34" location="_0.04.02__" display="_0.04.02__" xr:uid="{00000000-0004-0000-0300-000053010000}"/>
    <hyperlink ref="B35" location="_0.04.03___     Contribución Patrona" display="_0.04.03___     Contribución Patrona" xr:uid="{00000000-0004-0000-0300-000054010000}"/>
    <hyperlink ref="B37" location="_0.04.05___ Contribución Patronal al" display="_0.04.05___ Contribución Patronal al" xr:uid="{00000000-0004-0000-0300-000055010000}"/>
    <hyperlink ref="B41" location="_0.05.01___Contribución Patronal al " display="_0.05.01___Contribución Patronal al " xr:uid="{00000000-0004-0000-0300-000056010000}"/>
    <hyperlink ref="B42" location="_0.05.02__" display="_0.05.02__" xr:uid="{00000000-0004-0000-0300-000057010000}"/>
    <hyperlink ref="B43" location="_0.05.03___ Aporte Patronal al Fondo" display="_0.05.03___ Aporte Patronal al Fondo" xr:uid="{00000000-0004-0000-0300-000058010000}"/>
    <hyperlink ref="B44" location="_0.05.04___ Contribución  patronal a" display="_0.05.04___ Contribución  patronal a" xr:uid="{00000000-0004-0000-0300-000059010000}"/>
    <hyperlink ref="B45" location="_0.05.05___Contribución  patronal a " display="_0.05.05___Contribución  patronal a " xr:uid="{00000000-0004-0000-0300-00005A010000}"/>
    <hyperlink ref="A44" location="_0.05.04___ Contribución  patronal a" display="_0.05.04___ Contribución  patronal a" xr:uid="{00000000-0004-0000-0300-00005B010000}"/>
    <hyperlink ref="B47" location="OLE_LINK8" display="OLE_LINK8" xr:uid="{00000000-0004-0000-0300-00005C010000}"/>
    <hyperlink ref="A49" location="_0.99.99__" display="_0.99.99__" xr:uid="{00000000-0004-0000-0300-00005D010000}"/>
    <hyperlink ref="B48" location="_0.99.01___Gastos de representación " display="_0.99.01___Gastos de representación " xr:uid="{00000000-0004-0000-0300-00005E010000}"/>
    <hyperlink ref="B49" location="_0.99.99__" display="_0.99.99__" xr:uid="{00000000-0004-0000-0300-00005F010000}"/>
    <hyperlink ref="B51" location="_1___4" display="_1___4" xr:uid="{00000000-0004-0000-0300-000060010000}"/>
    <hyperlink ref="B53" location="_1.01.01___Alquiler de edificios, lo" display="_1.01.01___Alquiler de edificios, lo" xr:uid="{00000000-0004-0000-0300-000061010000}"/>
    <hyperlink ref="B54" location="_Hlt506254949" display="_Hlt506254949" xr:uid="{00000000-0004-0000-0300-000062010000}"/>
    <hyperlink ref="B55" location="_1.01.03___ Alquiler de equipo de có" display="_1.01.03___ Alquiler de equipo de có" xr:uid="{00000000-0004-0000-0300-000063010000}"/>
    <hyperlink ref="B56" location="_1.01.04___Alquiler y derechos para " display="_1.01.04___Alquiler y derechos para " xr:uid="{00000000-0004-0000-0300-000064010000}"/>
    <hyperlink ref="B57" location="_1.01.99___Otros alquileres" display="_1.01.99___Otros alquileres" xr:uid="{00000000-0004-0000-0300-000065010000}"/>
    <hyperlink ref="B60" location="_1.02.01___Servicio de agua y alcant" display="_1.02.01___Servicio de agua y alcant" xr:uid="{00000000-0004-0000-0300-000066010000}"/>
    <hyperlink ref="B61" location="_1.02.02__" display="_1.02.02__" xr:uid="{00000000-0004-0000-0300-000067010000}"/>
    <hyperlink ref="B62" location="_1.02.03___ Servicio de correo" display="_1.02.03___ Servicio de correo" xr:uid="{00000000-0004-0000-0300-000068010000}"/>
    <hyperlink ref="B63" location="_1.02.04___ Servicio de telecomunica" display="_1.02.04___ Servicio de telecomunica" xr:uid="{00000000-0004-0000-0300-000069010000}"/>
    <hyperlink ref="B64" location="_1.02.99___Otros servicios básicos" display="_1.02.99___Otros servicios básicos" xr:uid="{00000000-0004-0000-0300-00006A010000}"/>
    <hyperlink ref="B67" location="_Hlt506255274" display="_Hlt506255274" xr:uid="{00000000-0004-0000-0300-00006B010000}"/>
    <hyperlink ref="B68" location="_1.03.02__" display="_1.03.02__" xr:uid="{00000000-0004-0000-0300-00006C010000}"/>
    <hyperlink ref="B69" location="_1.03.03___Impresión, encuadernación" display="_1.03.03___Impresión, encuadernación" xr:uid="{00000000-0004-0000-0300-00006D010000}"/>
    <hyperlink ref="B70" location="_1.03.04___   Transporte de bienes" display="_1.03.04___   Transporte de bienes" xr:uid="{00000000-0004-0000-0300-00006E010000}"/>
    <hyperlink ref="B71" location="_1.03.05__" display="_1.03.05__" xr:uid="{00000000-0004-0000-0300-00006F010000}"/>
    <hyperlink ref="B72" location="_1.03.06___Comisiones y gastos por s" display="_1.03.06___Comisiones y gastos por s" xr:uid="{00000000-0004-0000-0300-000070010000}"/>
    <hyperlink ref="B73" location="_1.03.07___Servicios de transferenci" display="_1.03.07___Servicios de transferenci" xr:uid="{00000000-0004-0000-0300-000071010000}"/>
    <hyperlink ref="B76" location="_1.04.01___Servicios médicos y de la" display="_1.04.01___Servicios médicos y de la" xr:uid="{00000000-0004-0000-0300-000072010000}"/>
    <hyperlink ref="B77" location="_1.04.02___Servicios jurídicos" display="_1.04.02___Servicios jurídicos" xr:uid="{00000000-0004-0000-0300-000073010000}"/>
    <hyperlink ref="B78" location="_1.04.03___Servicios de ingeniería" display="_1.04.03___Servicios de ingeniería" xr:uid="{00000000-0004-0000-0300-000074010000}"/>
    <hyperlink ref="B79" location="_1.04.04___Servicios en ciencias eco" display="_1.04.04___Servicios en ciencias eco" xr:uid="{00000000-0004-0000-0300-000075010000}"/>
    <hyperlink ref="B80" location="_1.04.05___Servicios de desarrollo d" display="_1.04.05___Servicios de desarrollo d" xr:uid="{00000000-0004-0000-0300-000076010000}"/>
    <hyperlink ref="B81" location="_1.04.06___Servicios generales" display="_1.04.06___Servicios generales" xr:uid="{00000000-0004-0000-0300-000077010000}"/>
    <hyperlink ref="B82" location="_1.04.99___Otros servicios de gestió" display="_1.04.99___Otros servicios de gestió" xr:uid="{00000000-0004-0000-0300-000078010000}"/>
    <hyperlink ref="B85" location="_1.05.01___Transporte dentro del paí" display="_1.05.01___Transporte dentro del paí" xr:uid="{00000000-0004-0000-0300-000079010000}"/>
    <hyperlink ref="B86" location="_1.05.02___  Viáticos dentro del paí" display="_1.05.02___  Viáticos dentro del paí" xr:uid="{00000000-0004-0000-0300-00007A010000}"/>
    <hyperlink ref="B87" location="_1.05.03__" display="_1.05.03__" xr:uid="{00000000-0004-0000-0300-00007B010000}"/>
    <hyperlink ref="B88" location="_1.05.04___Viáticos en el exterior" display="_1.05.04___Viáticos en el exterior" xr:uid="{00000000-0004-0000-0300-00007C010000}"/>
    <hyperlink ref="B91" location="_1.06.01__Seguros" display="_1.06.01__Seguros" xr:uid="{00000000-0004-0000-0300-00007D010000}"/>
    <hyperlink ref="B92" location="_1.06.02___Reaseguros" display="_1.06.02___Reaseguros" xr:uid="{00000000-0004-0000-0300-00007E010000}"/>
    <hyperlink ref="B93" location="_1.06.03___Obligaciones por contrato" display="_1.06.03___Obligaciones por contrato" xr:uid="{00000000-0004-0000-0300-00007F010000}"/>
    <hyperlink ref="B96" location="_Hlt506361970" display="_Hlt506361970" xr:uid="{00000000-0004-0000-0300-000080010000}"/>
    <hyperlink ref="B97" location="_1.07.02___Actividades protocolarias" display="_1.07.02___Actividades protocolarias" xr:uid="{00000000-0004-0000-0300-000081010000}"/>
    <hyperlink ref="B98" location="_1.07.03___Gastos de representación " display="_1.07.03___Gastos de representación " xr:uid="{00000000-0004-0000-0300-000082010000}"/>
    <hyperlink ref="B101" location="_1.08.01___Mantenimiento de edificio" display="_1.08.01___Mantenimiento de edificio" xr:uid="{00000000-0004-0000-0300-000083010000}"/>
    <hyperlink ref="B102" location="_1.08.02___Mantenimiento de vías de " display="_1.08.02___Mantenimiento de vías de " xr:uid="{00000000-0004-0000-0300-000084010000}"/>
    <hyperlink ref="B103" location="_1.08.03___Mantenimiento de instalac" display="_1.08.03___Mantenimiento de instalac" xr:uid="{00000000-0004-0000-0300-000085010000}"/>
    <hyperlink ref="B104" location="_1.08.04___Mantenimiento y reparació" display="_1.08.04___Mantenimiento y reparació" xr:uid="{00000000-0004-0000-0300-000086010000}"/>
    <hyperlink ref="B105" location="_1.08.05___Mantenimiento y reparació" display="_1.08.05___Mantenimiento y reparació" xr:uid="{00000000-0004-0000-0300-000087010000}"/>
    <hyperlink ref="B106" location="_1.08.06___  Mantenimiento y reparac" display="_1.08.06___  Mantenimiento y reparac" xr:uid="{00000000-0004-0000-0300-000088010000}"/>
    <hyperlink ref="B107" location="_1.08.07___Mantenimiento y reparació" display="_1.08.07___Mantenimiento y reparació" xr:uid="{00000000-0004-0000-0300-000089010000}"/>
    <hyperlink ref="B108" location="_1.08.08___Mantenimiento y reparació" display="_1.08.08___Mantenimiento y reparació" xr:uid="{00000000-0004-0000-0300-00008A010000}"/>
    <hyperlink ref="B109" location="_1.08.99___Mantenimiento y reparació" display="_1.08.99___Mantenimiento y reparació" xr:uid="{00000000-0004-0000-0300-00008B010000}"/>
    <hyperlink ref="B112" location="_1.09.01___Impuestos sobre ingresos " display="_1.09.01___Impuestos sobre ingresos " xr:uid="{00000000-0004-0000-0300-00008C010000}"/>
    <hyperlink ref="B113" location="_1.09.02___Impuestos sobre bienes in_1" display="_1.09.02___Impuestos sobre bienes in_1" xr:uid="{00000000-0004-0000-0300-00008D010000}"/>
    <hyperlink ref="B114" location="_1.09.03___Impuestos de patentes" display="_1.09.03___Impuestos de patentes" xr:uid="{00000000-0004-0000-0300-00008E010000}"/>
    <hyperlink ref="B115" location="_1.09.99__" display="_1.09.99__" xr:uid="{00000000-0004-0000-0300-00008F010000}"/>
    <hyperlink ref="B118" location="_1.99.01___  Servicios de regulación" display="_1.99.01___  Servicios de regulación" xr:uid="{00000000-0004-0000-0300-000090010000}"/>
    <hyperlink ref="B119" location="_1.99.02___  Intereses moratorios y " display="_1.99.02___  Intereses moratorios y " xr:uid="{00000000-0004-0000-0300-000091010000}"/>
    <hyperlink ref="B120" location="_1.99.03___  Gastos de oficinas en e" display="_1.99.03___  Gastos de oficinas en e" xr:uid="{00000000-0004-0000-0300-000092010000}"/>
    <hyperlink ref="B121" location="_1.99.04__" display="_1.99.04__" xr:uid="{00000000-0004-0000-0300-000093010000}"/>
    <hyperlink ref="B122" location="_1.99.05___  Deducibles" display="_1.99.05___  Deducibles" xr:uid="{00000000-0004-0000-0300-000094010000}"/>
    <hyperlink ref="B123" location="_Hlt506356377" display="_Hlt506356377" xr:uid="{00000000-0004-0000-0300-000095010000}"/>
    <hyperlink ref="B125" location="_2___4" display="_2___4" xr:uid="{00000000-0004-0000-0300-000096010000}"/>
    <hyperlink ref="B127" location="_2.01.01___   Combustibles y lubrica_1" display="_2.01.01___   Combustibles y lubrica_1" xr:uid="{00000000-0004-0000-0300-000097010000}"/>
    <hyperlink ref="B128" location="_2.01.02___  Productos farmacéuticos" display="_2.01.02___  Productos farmacéuticos" xr:uid="{00000000-0004-0000-0300-000098010000}"/>
    <hyperlink ref="B129" location="_2.01.03___  Productos veterinarios" display="_2.01.03___  Productos veterinarios" xr:uid="{00000000-0004-0000-0300-000099010000}"/>
    <hyperlink ref="B130" location="_2.01.04___ Tintas, pinturas y diluy" display="_2.01.04___ Tintas, pinturas y diluy" xr:uid="{00000000-0004-0000-0300-00009A010000}"/>
    <hyperlink ref="B131" location="_2.01.99___  Otros productos químico" display="_2.01.99___  Otros productos químico" xr:uid="{00000000-0004-0000-0300-00009B010000}"/>
    <hyperlink ref="B134" location="_2.02.01__" display="_2.02.01__" xr:uid="{00000000-0004-0000-0300-00009C010000}"/>
    <hyperlink ref="B135" location="_2.02.02___Productos agroforestales" display="_2.02.02___Productos agroforestales" xr:uid="{00000000-0004-0000-0300-00009D010000}"/>
    <hyperlink ref="B136" location="_2.02.03___Alimentos y bebidas" display="_2.02.03___Alimentos y bebidas" xr:uid="{00000000-0004-0000-0300-00009E010000}"/>
    <hyperlink ref="B137" location="_2.02.04___1" display="_2.02.04___1" xr:uid="{00000000-0004-0000-0300-00009F010000}"/>
    <hyperlink ref="B140" location="_2.03__" display="_2.03__" xr:uid="{00000000-0004-0000-0300-0000A0010000}"/>
    <hyperlink ref="B141" location="_2.03.01___   Materiales y productos_1" display="_2.03.01___   Materiales y productos_1" xr:uid="{00000000-0004-0000-0300-0000A1010000}"/>
    <hyperlink ref="B142" location="_2.03.02___   Materiales y productos_1" display="_2.03.02___   Materiales y productos_1" xr:uid="{00000000-0004-0000-0300-0000A2010000}"/>
    <hyperlink ref="B143" location="_2.03.03___    Madera y sus derivado_1" display="_2.03.03___    Madera y sus derivado_1" xr:uid="{00000000-0004-0000-0300-0000A3010000}"/>
    <hyperlink ref="B144" location="_2.03.04___  Materiales y productos _1" display="_2.03.04___  Materiales y productos _1" xr:uid="{00000000-0004-0000-0300-0000A4010000}"/>
    <hyperlink ref="B145" location="_2.03.05___    Materiales y producto_1" display="_2.03.05___    Materiales y producto_1" xr:uid="{00000000-0004-0000-0300-0000A5010000}"/>
    <hyperlink ref="B146" location="_Hlt506356393" display="_Hlt506356393" xr:uid="{00000000-0004-0000-0300-0000A6010000}"/>
    <hyperlink ref="B147" location="_2.03.99___   Otros materiales y pro_1" display="_2.03.99___   Otros materiales y pro_1" xr:uid="{00000000-0004-0000-0300-0000A7010000}"/>
    <hyperlink ref="B150" location="_2.04.01___   Herramientas e instrum_1" display="_2.04.01___   Herramientas e instrum_1" xr:uid="{00000000-0004-0000-0300-0000A8010000}"/>
    <hyperlink ref="B151" location="_2.04.02__" display="_2.04.02__" xr:uid="{00000000-0004-0000-0300-0000A9010000}"/>
    <hyperlink ref="B153" location="_2.05__" display="_2.05__" xr:uid="{00000000-0004-0000-0300-0000AA010000}"/>
    <hyperlink ref="B154" location="_2.05.01___Materia prima_1" display="_2.05.01___Materia prima_1" xr:uid="{00000000-0004-0000-0300-0000AB010000}"/>
    <hyperlink ref="B155" location="_2.05.02___Productos terminados_1" display="_2.05.02___Productos terminados_1" xr:uid="{00000000-0004-0000-0300-0000AC010000}"/>
    <hyperlink ref="B156" location="_2.05.03___Energía eléctrica_1" display="_2.05.03___Energía eléctrica_1" xr:uid="{00000000-0004-0000-0300-0000AD010000}"/>
    <hyperlink ref="B157" location="_Hlt506373174" display="_Hlt506373174" xr:uid="{00000000-0004-0000-0300-0000AE010000}"/>
    <hyperlink ref="B160" location="_2.99.01__" display="_2.99.01__" xr:uid="{00000000-0004-0000-0300-0000AF010000}"/>
    <hyperlink ref="B161" location="_2.99.02___ Útiles y materiales médi" display="_2.99.02___ Útiles y materiales médi" xr:uid="{00000000-0004-0000-0300-0000B0010000}"/>
    <hyperlink ref="B162" location="_2.99.03__" display="_2.99.03__" xr:uid="{00000000-0004-0000-0300-0000B1010000}"/>
    <hyperlink ref="B163" location="_2.99.04__" display="_2.99.04__" xr:uid="{00000000-0004-0000-0300-0000B2010000}"/>
    <hyperlink ref="B164" location="_2.99.05___ Útiles y materiales de l" display="_2.99.05___ Útiles y materiales de l" xr:uid="{00000000-0004-0000-0300-0000B3010000}"/>
    <hyperlink ref="B165" location="_2.99.06__" display="_2.99.06__" xr:uid="{00000000-0004-0000-0300-0000B4010000}"/>
    <hyperlink ref="B166" location="_2.99.07__" display="_2.99.07__" xr:uid="{00000000-0004-0000-0300-0000B5010000}"/>
    <hyperlink ref="B167" location="_2.99.99__" display="_2.99.99__" xr:uid="{00000000-0004-0000-0300-0000B6010000}"/>
    <hyperlink ref="B169" location="_3___1" display="_3___1" xr:uid="{00000000-0004-0000-0300-0000B7010000}"/>
    <hyperlink ref="B171" location="_3.01.01__" display="_3.01.01__" xr:uid="{00000000-0004-0000-0300-0000B8010000}"/>
    <hyperlink ref="B172" location="_3.01.02___1" display="_3.01.02___1" xr:uid="{00000000-0004-0000-0300-0000B9010000}"/>
    <hyperlink ref="B173" location="_3.01.03__Intereses" display="_3.01.03__Intereses" xr:uid="{00000000-0004-0000-0300-0000BA010000}"/>
    <hyperlink ref="B174" location="_3.01.04__Intereses" display="_3.01.04__Intereses" xr:uid="{00000000-0004-0000-0300-0000BB010000}"/>
    <hyperlink ref="B177" location="_3.02.01__" display="_3.02.01__" xr:uid="{00000000-0004-0000-0300-0000BC010000}"/>
    <hyperlink ref="B178" location="_3.02.02__" display="_3.02.02__" xr:uid="{00000000-0004-0000-0300-0000BD010000}"/>
    <hyperlink ref="B179" location="_3.02.03___1" display="_3.02.03___1" xr:uid="{00000000-0004-0000-0300-0000BE010000}"/>
    <hyperlink ref="B180" location="_3.02.04___Intereses sobre préstamos" display="_3.02.04___Intereses sobre préstamos" xr:uid="{00000000-0004-0000-0300-0000BF010000}"/>
    <hyperlink ref="B181" location="_3.02.05__" display="_3.02.05__" xr:uid="{00000000-0004-0000-0300-0000C0010000}"/>
    <hyperlink ref="B182" location="_3.02.06__" display="_3.02.06__" xr:uid="{00000000-0004-0000-0300-0000C1010000}"/>
    <hyperlink ref="B183" location="_3.02.07__" display="_3.02.07__" xr:uid="{00000000-0004-0000-0300-0000C2010000}"/>
    <hyperlink ref="B184" location="_3.02.08__" display="_3.02.08__" xr:uid="{00000000-0004-0000-0300-0000C3010000}"/>
    <hyperlink ref="A186" location="_3.03__" display="_3.03__" xr:uid="{00000000-0004-0000-0300-0000C4010000}"/>
    <hyperlink ref="B187" location="_3.03.01__" display="_3.03.01__" xr:uid="{00000000-0004-0000-0300-0000C5010000}"/>
    <hyperlink ref="B188" location="_3.03.99___Intereses sobre otras obl" display="_3.03.99___Intereses sobre otras obl" xr:uid="{00000000-0004-0000-0300-0000C6010000}"/>
    <hyperlink ref="B191" location="_3.99.01__Comisiones" display="_3.99.01__Comisiones" xr:uid="{00000000-0004-0000-0300-0000C7010000}"/>
    <hyperlink ref="B192" location="_3.99.02__Comisiones" display="_3.99.02__Comisiones" xr:uid="{00000000-0004-0000-0300-0000C8010000}"/>
    <hyperlink ref="B193" location="_3.99.03__" display="_3.99.03__" xr:uid="{00000000-0004-0000-0300-0000C9010000}"/>
    <hyperlink ref="B194" location="_3.99.04__" display="_3.99.04__" xr:uid="{00000000-0004-0000-0300-0000CA010000}"/>
    <hyperlink ref="B195" location="_3.99.05__" display="_3.99.05__" xr:uid="{00000000-0004-0000-0300-0000CB010000}"/>
    <hyperlink ref="B199" location="_4.01.01__" display="_4.01.01__" xr:uid="{00000000-0004-0000-0300-0000CC010000}"/>
    <hyperlink ref="B200" location="_4.01.02__" display="_4.01.02__" xr:uid="{00000000-0004-0000-0300-0000CD010000}"/>
    <hyperlink ref="B201" location="_4.01.03__" display="_4.01.03__" xr:uid="{00000000-0004-0000-0300-0000CE010000}"/>
    <hyperlink ref="B202" location="_4.01.04__" display="_4.01.04__" xr:uid="{00000000-0004-0000-0300-0000CF010000}"/>
    <hyperlink ref="B203" location="_4.01.05__" display="_4.01.05__" xr:uid="{00000000-0004-0000-0300-0000D0010000}"/>
    <hyperlink ref="B204" location="_4.01.06__" display="_4.01.06__" xr:uid="{00000000-0004-0000-0300-0000D1010000}"/>
    <hyperlink ref="B205" location="_4.01.07__" display="_4.01.07__" xr:uid="{00000000-0004-0000-0300-0000D2010000}"/>
    <hyperlink ref="B206" location="_4.01.08__" display="_4.01.08__" xr:uid="{00000000-0004-0000-0300-0000D3010000}"/>
    <hyperlink ref="B209" location="_4.02.01__" display="_4.02.01__" xr:uid="{00000000-0004-0000-0300-0000D4010000}"/>
    <hyperlink ref="B210" location="_4.02.02__" display="_4.02.02__" xr:uid="{00000000-0004-0000-0300-0000D5010000}"/>
    <hyperlink ref="B211" location="_4.02.03__" display="_4.02.03__" xr:uid="{00000000-0004-0000-0300-0000D6010000}"/>
    <hyperlink ref="B212" location="_4.02.04__" display="_4.02.04__" xr:uid="{00000000-0004-0000-0300-0000D7010000}"/>
    <hyperlink ref="B213" location="_4.02.05___1" display="_4.02.05___1" xr:uid="{00000000-0004-0000-0300-0000D8010000}"/>
    <hyperlink ref="B214" location="_4.02.06__" display="_4.02.06__" xr:uid="{00000000-0004-0000-0300-0000D9010000}"/>
    <hyperlink ref="B215" location="_4.02.07__" display="_4.02.07__" xr:uid="{00000000-0004-0000-0300-0000DA010000}"/>
    <hyperlink ref="B216" location="_4.02.08__" display="_4.02.08__" xr:uid="{00000000-0004-0000-0300-0000DB010000}"/>
    <hyperlink ref="B219" location="_4.99.01__" display="_4.99.01__" xr:uid="{00000000-0004-0000-0300-0000DC010000}"/>
    <hyperlink ref="B220" location="_4.99.99__" display="_4.99.99__" xr:uid="{00000000-0004-0000-0300-0000DD010000}"/>
    <hyperlink ref="B222" location="_5___1" display="_5___1" xr:uid="{00000000-0004-0000-0300-0000DE010000}"/>
    <hyperlink ref="B224" location="_5.01.01__" display="_5.01.01__" xr:uid="{00000000-0004-0000-0300-0000DF010000}"/>
    <hyperlink ref="B225" location="_5.01.02___Equipo de transporte" display="_5.01.02___Equipo de transporte" xr:uid="{00000000-0004-0000-0300-0000E0010000}"/>
    <hyperlink ref="B226" location="_5.01.03__" display="_5.01.03__" xr:uid="{00000000-0004-0000-0300-0000E1010000}"/>
    <hyperlink ref="B227" location="_5.01.04___1" display="_5.01.04___1" xr:uid="{00000000-0004-0000-0300-0000E2010000}"/>
    <hyperlink ref="B228" location="_5.01.05__" display="_5.01.05__" xr:uid="{00000000-0004-0000-0300-0000E3010000}"/>
    <hyperlink ref="B229" location="_5.01.06__" display="_5.01.06__" xr:uid="{00000000-0004-0000-0300-0000E4010000}"/>
    <hyperlink ref="B230" location="_5.01.07___1" display="_5.01.07___1" xr:uid="{00000000-0004-0000-0300-0000E5010000}"/>
    <hyperlink ref="B231" location="_5.01.99__" display="_5.01.99__" xr:uid="{00000000-0004-0000-0300-0000E6010000}"/>
    <hyperlink ref="B234" location="_5.02.01___Edificios" display="_5.02.01___Edificios" xr:uid="{00000000-0004-0000-0300-0000E7010000}"/>
    <hyperlink ref="B235" location="_5.02.02__" display="_5.02.02__" xr:uid="{00000000-0004-0000-0300-0000E8010000}"/>
    <hyperlink ref="B236" location="_5.02.03___Vías férreas" display="_5.02.03___Vías férreas" xr:uid="{00000000-0004-0000-0300-0000E9010000}"/>
    <hyperlink ref="B237" location="_5.02.04___Obras marítimas y fluvial" display="_5.02.04___Obras marítimas y fluvial" xr:uid="{00000000-0004-0000-0300-0000EA010000}"/>
    <hyperlink ref="B238" location="_5.02.05__" display="_5.02.05__" xr:uid="{00000000-0004-0000-0300-0000EB010000}"/>
    <hyperlink ref="B239" location="_5.02.06__" display="_5.02.06__" xr:uid="{00000000-0004-0000-0300-0000EC010000}"/>
    <hyperlink ref="B240" location="_5.02.07__" display="_5.02.07__" xr:uid="{00000000-0004-0000-0300-0000ED010000}"/>
    <hyperlink ref="B241" location="_5.02.99__" display="_5.02.99__" xr:uid="{00000000-0004-0000-0300-0000EE010000}"/>
    <hyperlink ref="B244" location="_5.03.01__" display="_5.03.01__" xr:uid="{00000000-0004-0000-0300-0000EF010000}"/>
    <hyperlink ref="B245" location="_5.03.02__" display="_5.03.02__" xr:uid="{00000000-0004-0000-0300-0000F0010000}"/>
    <hyperlink ref="B246" location="_5.03.99__" display="_5.03.99__" xr:uid="{00000000-0004-0000-0300-0000F1010000}"/>
    <hyperlink ref="B249" location="_5.99.01___1" display="_5.99.01___1" xr:uid="{00000000-0004-0000-0300-0000F2010000}"/>
    <hyperlink ref="B250" location="_5.99.02__" display="_5.99.02__" xr:uid="{00000000-0004-0000-0300-0000F3010000}"/>
    <hyperlink ref="B251" location="_5.99.03__" display="_5.99.03__" xr:uid="{00000000-0004-0000-0300-0000F4010000}"/>
    <hyperlink ref="B252" location="_5.99.99__" display="_5.99.99__" xr:uid="{00000000-0004-0000-0300-0000F5010000}"/>
    <hyperlink ref="B254" location="_6_TRANSFERENCIAS_CORRIENTES_4" display="_6_TRANSFERENCIAS_CORRIENTES_4" xr:uid="{00000000-0004-0000-0300-0000F6010000}"/>
    <hyperlink ref="B267" location="_6.02.01__" display="_6.02.01__" xr:uid="{00000000-0004-0000-0300-0000F7010000}"/>
    <hyperlink ref="B268" location="_6.02.02__" display="_6.02.02__" xr:uid="{00000000-0004-0000-0300-0000F8010000}"/>
    <hyperlink ref="B269" location="_6.02.03__" display="_6.02.03__" xr:uid="{00000000-0004-0000-0300-0000F9010000}"/>
    <hyperlink ref="B270" location="_6.02.99__" display="_6.02.99__" xr:uid="{00000000-0004-0000-0300-0000FA010000}"/>
    <hyperlink ref="B273" location="_6.03.01___Prestaciones legales_1" display="_6.03.01___Prestaciones legales_1" xr:uid="{00000000-0004-0000-0300-0000FB010000}"/>
    <hyperlink ref="B274" location="_6.03.02__" display="_6.03.02__" xr:uid="{00000000-0004-0000-0300-0000FC010000}"/>
    <hyperlink ref="B275" location="_6.03.03__" display="_6.03.03__" xr:uid="{00000000-0004-0000-0300-0000FD010000}"/>
    <hyperlink ref="B276" location="_6.03.04__" display="_6.03.04__" xr:uid="{00000000-0004-0000-0300-0000FE010000}"/>
    <hyperlink ref="B277" location="_6.03.05__Cuota" display="_6.03.05__Cuota" xr:uid="{00000000-0004-0000-0300-0000FF010000}"/>
    <hyperlink ref="B278" location="_6.03.99___1" display="_6.03.99___1" xr:uid="{00000000-0004-0000-0300-000000020000}"/>
    <hyperlink ref="B280" location="_6.04__" display="_6.04__" xr:uid="{00000000-0004-0000-0300-000001020000}"/>
    <hyperlink ref="B281" location="_6.04.01__" display="_6.04.01__" xr:uid="{00000000-0004-0000-0300-000002020000}"/>
    <hyperlink ref="B282" location="_6.04.02__" display="_6.04.02__" xr:uid="{00000000-0004-0000-0300-000003020000}"/>
    <hyperlink ref="B283" location="_6.04.03___1" display="_6.04.03___1" xr:uid="{00000000-0004-0000-0300-000004020000}"/>
    <hyperlink ref="B284" location="_6.04.04__" display="_6.04.04__" xr:uid="{00000000-0004-0000-0300-000005020000}"/>
    <hyperlink ref="B286" location="_6.05__" display="_6.05__" xr:uid="{00000000-0004-0000-0300-000006020000}"/>
    <hyperlink ref="B287" location="_6.05.01__" display="_6.05.01__" xr:uid="{00000000-0004-0000-0300-000007020000}"/>
    <hyperlink ref="B290" location="_6.06.01___1" display="_6.06.01___1" xr:uid="{00000000-0004-0000-0300-000008020000}"/>
    <hyperlink ref="B291" location="_6.06.02__" display="_6.06.02__" xr:uid="{00000000-0004-0000-0300-000009020000}"/>
    <hyperlink ref="B294" location="_6.07.01__" display="_6.07.01__" xr:uid="{00000000-0004-0000-0300-00000A020000}"/>
    <hyperlink ref="B295" location="_6.07.02___1" display="_6.07.02___1" xr:uid="{00000000-0004-0000-0300-00000B020000}"/>
    <hyperlink ref="B256" location="_6.01.01__" display="_6.01.01__" xr:uid="{00000000-0004-0000-0300-00000C020000}"/>
    <hyperlink ref="B257" location="_6.01.02__" display="_6.01.02__" xr:uid="{00000000-0004-0000-0300-00000D020000}"/>
    <hyperlink ref="B258" location="_6.01.03__" display="_6.01.03__" xr:uid="{00000000-0004-0000-0300-00000E020000}"/>
    <hyperlink ref="B259" location="_6.01.04__" display="_6.01.04__" xr:uid="{00000000-0004-0000-0300-00000F020000}"/>
    <hyperlink ref="B260" location="_6.01.05__" display="_6.01.05__" xr:uid="{00000000-0004-0000-0300-000010020000}"/>
    <hyperlink ref="B261" location="_6.01.06__" display="_6.01.06__" xr:uid="{00000000-0004-0000-0300-000011020000}"/>
    <hyperlink ref="B262" location="_6.01.07__" display="_6.01.07__" xr:uid="{00000000-0004-0000-0300-000012020000}"/>
    <hyperlink ref="B263" location="_6.01.08__" display="_6.01.08__" xr:uid="{00000000-0004-0000-0300-000013020000}"/>
    <hyperlink ref="B264" location="_6.01.09__" display="_6.01.09__" xr:uid="{00000000-0004-0000-0300-000014020000}"/>
    <hyperlink ref="B297" location="_7__" display="_7__" xr:uid="{00000000-0004-0000-0300-000015020000}"/>
    <hyperlink ref="B299" location="_7.01.01__" display="_7.01.01__" xr:uid="{00000000-0004-0000-0300-000016020000}"/>
    <hyperlink ref="B300" location="_7.01.02__" display="_7.01.02__" xr:uid="{00000000-0004-0000-0300-000017020000}"/>
    <hyperlink ref="B301" location="_7.01.03__" display="_7.01.03__" xr:uid="{00000000-0004-0000-0300-000018020000}"/>
    <hyperlink ref="B302" location="_7.01.04__" display="_7.01.04__" xr:uid="{00000000-0004-0000-0300-000019020000}"/>
    <hyperlink ref="B303" location="_7.01.05__" display="_7.01.05__" xr:uid="{00000000-0004-0000-0300-00001A020000}"/>
    <hyperlink ref="B304" location="_7.01.06__" display="_7.01.06__" xr:uid="{00000000-0004-0000-0300-00001B020000}"/>
    <hyperlink ref="B305" location="_7.01.07__" display="_7.01.07__" xr:uid="{00000000-0004-0000-0300-00001C020000}"/>
    <hyperlink ref="B307" location="_7.02__" display="_7.02__" xr:uid="{00000000-0004-0000-0300-00001D020000}"/>
    <hyperlink ref="B308" location="_7.02.01__Transferencias" display="_7.02.01__Transferencias" xr:uid="{00000000-0004-0000-0300-00001E020000}"/>
    <hyperlink ref="B311" location="_7.03.01__" display="_7.03.01__" xr:uid="{00000000-0004-0000-0300-00001F020000}"/>
    <hyperlink ref="B312" location="_7.03.02__" display="_7.03.02__" xr:uid="{00000000-0004-0000-0300-000020020000}"/>
    <hyperlink ref="B313" location="_7.03.03__" display="_7.03.03__" xr:uid="{00000000-0004-0000-0300-000021020000}"/>
    <hyperlink ref="B314" location="_7.03.99_Transferencias_de" display="_7.03.99_Transferencias_de" xr:uid="{00000000-0004-0000-0300-000022020000}"/>
    <hyperlink ref="B316" location="_7.04___1" display="_7.04___1" xr:uid="{00000000-0004-0000-0300-000023020000}"/>
    <hyperlink ref="B317" location="_7.04.01__" display="_7.04.01__" xr:uid="{00000000-0004-0000-0300-000024020000}"/>
    <hyperlink ref="B320" location="_7.05.01_Transferencias_de" display="_7.05.01_Transferencias_de" xr:uid="{00000000-0004-0000-0300-000025020000}"/>
    <hyperlink ref="B321" location="_7.05.02__" display="_7.05.02__" xr:uid="{00000000-0004-0000-0300-000026020000}"/>
    <hyperlink ref="B323" location="_8_AMORTIZACION_2" display="_8_AMORTIZACION_2" xr:uid="{00000000-0004-0000-0300-000027020000}"/>
    <hyperlink ref="B325" location="_8.01.01__" display="_8.01.01__" xr:uid="{00000000-0004-0000-0300-000028020000}"/>
    <hyperlink ref="B326" location="_8.01.02__" display="_8.01.02__" xr:uid="{00000000-0004-0000-0300-000029020000}"/>
    <hyperlink ref="B327" location="_8.01.03___1" display="_8.01.03___1" xr:uid="{00000000-0004-0000-0300-00002A020000}"/>
    <hyperlink ref="B328" location="_8.01.04__" display="_8.01.04__" xr:uid="{00000000-0004-0000-0300-00002B020000}"/>
    <hyperlink ref="B331" location="_8.02.01__" display="_8.02.01__" xr:uid="{00000000-0004-0000-0300-00002C020000}"/>
    <hyperlink ref="B332" location="_8.02.02__" display="_8.02.02__" xr:uid="{00000000-0004-0000-0300-00002D020000}"/>
    <hyperlink ref="B333" location="_Amortización_de_préstamos" display="_Amortización_de_préstamos" xr:uid="{00000000-0004-0000-0300-00002E020000}"/>
    <hyperlink ref="B334" location="_8.02.04__" display="_8.02.04__" xr:uid="{00000000-0004-0000-0300-00002F020000}"/>
    <hyperlink ref="B335" location="_8.02.05__" display="_8.02.05__" xr:uid="{00000000-0004-0000-0300-000030020000}"/>
    <hyperlink ref="B336" location="_8.02.06__" display="_8.02.06__" xr:uid="{00000000-0004-0000-0300-000031020000}"/>
    <hyperlink ref="B337" location="_8.02.07__" display="_8.02.07__" xr:uid="{00000000-0004-0000-0300-000032020000}"/>
    <hyperlink ref="B338" location="_8.02.08__" display="_8.02.08__" xr:uid="{00000000-0004-0000-0300-000033020000}"/>
    <hyperlink ref="B340" location="_9___1" display="_9___1" xr:uid="{00000000-0004-0000-0300-000034020000}"/>
    <hyperlink ref="B342" location="_9.01.03__" display="_9.01.03__" xr:uid="{00000000-0004-0000-0300-000035020000}"/>
    <hyperlink ref="B346" location="_9.02.01__" display="_9.02.01__" xr:uid="{00000000-0004-0000-0300-000036020000}"/>
    <hyperlink ref="B347" location="_9.02.02__" display="_9.02.02__" xr:uid="{00000000-0004-0000-0300-000037020000}"/>
    <hyperlink ref="B197" location="_4__" display="_4__" xr:uid="{00000000-0004-0000-0300-000038020000}"/>
    <hyperlink ref="B32" location="OLE_LINK5" display="OLE_LINK5" xr:uid="{00000000-0004-0000-0300-000039020000}"/>
    <hyperlink ref="B40" location="OLE_LINK6" display="OLE_LINK6" xr:uid="{00000000-0004-0000-0300-00003A020000}"/>
    <hyperlink ref="A40" location="OLE_LINK6" display="OLE_LINK6" xr:uid="{00000000-0004-0000-0300-00003B020000}"/>
  </hyperlinks>
  <pageMargins left="0.19685039370078741" right="0.19685039370078741" top="0.39370078740157483" bottom="1.1811023622047245" header="0" footer="0"/>
  <pageSetup scale="80" orientation="portrait" horizontalDpi="4294967294" verticalDpi="144"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51"/>
  <sheetViews>
    <sheetView zoomScaleNormal="100" workbookViewId="0">
      <pane xSplit="2" ySplit="9" topLeftCell="G10" activePane="bottomRight" state="frozen"/>
      <selection pane="topRight" activeCell="C1" sqref="C1"/>
      <selection pane="bottomLeft" activeCell="A8" sqref="A8"/>
      <selection pane="bottomRight" activeCell="G129" sqref="G129"/>
    </sheetView>
  </sheetViews>
  <sheetFormatPr baseColWidth="10" defaultRowHeight="15.75" customHeight="1"/>
  <cols>
    <col min="1" max="1" width="7.42578125" style="179" customWidth="1"/>
    <col min="2" max="2" width="26.28515625" style="179" customWidth="1"/>
    <col min="3" max="3" width="18.7109375" style="179" customWidth="1"/>
    <col min="4" max="4" width="15.42578125" style="190" bestFit="1" customWidth="1"/>
    <col min="5" max="5" width="13.28515625" style="190" customWidth="1"/>
    <col min="6" max="6" width="11.85546875" style="190" customWidth="1"/>
    <col min="7" max="7" width="15.42578125" style="190" customWidth="1"/>
    <col min="8" max="8" width="13.7109375" style="190" customWidth="1"/>
    <col min="9" max="9" width="13.140625" style="190" customWidth="1"/>
    <col min="10" max="10" width="14.7109375" style="190" customWidth="1"/>
    <col min="11" max="11" width="13.28515625" style="179" customWidth="1"/>
    <col min="12" max="12" width="14.7109375" style="179" customWidth="1"/>
    <col min="13" max="13" width="12.42578125" style="179" customWidth="1"/>
    <col min="14" max="14" width="14" style="179" customWidth="1"/>
    <col min="15" max="15" width="12.7109375" style="179" customWidth="1"/>
    <col min="16" max="16" width="11.85546875" style="179" customWidth="1"/>
    <col min="17" max="17" width="13.42578125" style="179" customWidth="1"/>
    <col min="18" max="18" width="20.140625" style="179" customWidth="1"/>
    <col min="19" max="19" width="17" style="190" customWidth="1"/>
    <col min="20" max="20" width="12" style="190" bestFit="1" customWidth="1"/>
    <col min="21" max="21" width="12" style="179" bestFit="1" customWidth="1"/>
    <col min="22" max="22" width="12" style="190" bestFit="1" customWidth="1"/>
    <col min="23" max="23" width="12" style="179" bestFit="1" customWidth="1"/>
    <col min="24" max="16384" width="11.42578125" style="179"/>
  </cols>
  <sheetData>
    <row r="1" spans="1:23" ht="15.75" customHeight="1">
      <c r="A1" s="1007" t="s">
        <v>199</v>
      </c>
      <c r="B1" s="1007"/>
      <c r="C1" s="1007"/>
      <c r="D1" s="1007"/>
      <c r="E1" s="1007"/>
      <c r="F1" s="1007"/>
      <c r="G1" s="1007"/>
      <c r="H1" s="1007"/>
      <c r="I1" s="1007"/>
      <c r="J1" s="1007"/>
      <c r="K1" s="1007"/>
      <c r="L1" s="1007"/>
      <c r="M1" s="1007"/>
      <c r="N1" s="1007"/>
      <c r="O1" s="1007"/>
      <c r="P1" s="1007"/>
      <c r="Q1" s="1007"/>
    </row>
    <row r="2" spans="1:23" ht="15.75" customHeight="1">
      <c r="A2" s="1007" t="s">
        <v>1352</v>
      </c>
      <c r="B2" s="1007"/>
      <c r="C2" s="1007"/>
      <c r="D2" s="1007"/>
      <c r="E2" s="1007"/>
      <c r="F2" s="1007"/>
      <c r="G2" s="1007"/>
      <c r="H2" s="1007"/>
      <c r="I2" s="1007"/>
      <c r="J2" s="1007"/>
      <c r="K2" s="1007"/>
      <c r="L2" s="1007"/>
      <c r="M2" s="1007"/>
      <c r="N2" s="1007"/>
      <c r="O2" s="1007"/>
      <c r="P2" s="1007"/>
      <c r="Q2" s="1007"/>
    </row>
    <row r="3" spans="1:23" ht="15.75" customHeight="1">
      <c r="A3" s="1008" t="s">
        <v>1006</v>
      </c>
      <c r="B3" s="1008"/>
      <c r="C3" s="1008"/>
      <c r="D3" s="1008"/>
      <c r="E3" s="1008"/>
      <c r="F3" s="1008"/>
      <c r="G3" s="1008"/>
      <c r="H3" s="1008"/>
      <c r="I3" s="1008"/>
      <c r="J3" s="1008"/>
      <c r="K3" s="1008"/>
      <c r="L3" s="1008"/>
      <c r="M3" s="1008"/>
      <c r="N3" s="1008"/>
      <c r="O3" s="1008"/>
      <c r="P3" s="1008"/>
      <c r="Q3" s="1008"/>
    </row>
    <row r="4" spans="1:23" ht="12.75" customHeight="1">
      <c r="A4" s="1007" t="s">
        <v>352</v>
      </c>
      <c r="B4" s="1007"/>
      <c r="C4" s="1007"/>
      <c r="D4" s="1007"/>
      <c r="E4" s="1007"/>
      <c r="F4" s="1007"/>
      <c r="G4" s="1007"/>
      <c r="H4" s="1007"/>
      <c r="I4" s="1007"/>
      <c r="J4" s="1007"/>
      <c r="K4" s="1007"/>
      <c r="L4" s="1007"/>
      <c r="M4" s="1007"/>
      <c r="N4" s="1007"/>
      <c r="O4" s="1007"/>
      <c r="P4" s="1007"/>
      <c r="Q4" s="1007"/>
      <c r="R4" s="778">
        <f>+'Ingreso Contraloría'!C11</f>
        <v>368000000</v>
      </c>
      <c r="S4" s="778"/>
    </row>
    <row r="5" spans="1:23" ht="15.75" customHeight="1">
      <c r="A5" s="1007" t="s">
        <v>398</v>
      </c>
      <c r="B5" s="1007"/>
      <c r="C5" s="1007"/>
      <c r="D5" s="1007"/>
      <c r="E5" s="1007"/>
      <c r="F5" s="1007"/>
      <c r="G5" s="1007"/>
      <c r="H5" s="1007"/>
      <c r="I5" s="1007"/>
      <c r="J5" s="1007"/>
      <c r="K5" s="1007"/>
      <c r="L5" s="1007"/>
      <c r="M5" s="1007"/>
      <c r="N5" s="1007"/>
      <c r="O5" s="1007"/>
      <c r="P5" s="1007"/>
      <c r="Q5" s="1007"/>
      <c r="R5" s="778">
        <f>+R4*10%</f>
        <v>36800000</v>
      </c>
      <c r="S5" s="778"/>
    </row>
    <row r="6" spans="1:23" ht="15.75" customHeight="1">
      <c r="A6" s="815"/>
      <c r="B6" s="815"/>
      <c r="C6" s="815"/>
      <c r="D6" s="826"/>
      <c r="E6" s="815"/>
      <c r="F6" s="815"/>
      <c r="G6" s="865"/>
      <c r="H6" s="816"/>
      <c r="I6" s="815"/>
      <c r="J6" s="862"/>
      <c r="K6" s="861"/>
      <c r="L6" s="826"/>
      <c r="M6" s="826"/>
      <c r="N6" s="815"/>
      <c r="O6" s="815"/>
      <c r="P6" s="815"/>
      <c r="Q6" s="815"/>
      <c r="R6" s="778">
        <f>+R4-R5</f>
        <v>331200000</v>
      </c>
      <c r="S6" s="778"/>
    </row>
    <row r="7" spans="1:23" s="770" customFormat="1" ht="15.75" customHeight="1">
      <c r="A7" s="753"/>
      <c r="B7" s="765" t="s">
        <v>1265</v>
      </c>
      <c r="C7" s="864">
        <f>(+'Ingreso Interno'!C69*10%)-'Ingreso Interno'!C69+C10</f>
        <v>3.6099590361118317E-3</v>
      </c>
      <c r="D7" s="827">
        <f>-'Ingreso Interno'!C67+('Ingreso Interno'!C67*10%)+D10</f>
        <v>-3.8651376962661743E-3</v>
      </c>
      <c r="E7" s="766"/>
      <c r="F7" s="767">
        <f>(+'Ingreso Interno'!C35+'Ingreso Interno'!C65+'Ingreso Interno'!C81)-F10</f>
        <v>0</v>
      </c>
      <c r="G7" s="767">
        <f>+'Ingreso Interno'!C70-('Ingreso Interno'!C70*10%)-G10</f>
        <v>-3.612026572227478E-3</v>
      </c>
      <c r="H7" s="768">
        <f>-'Ingreso Interno'!C51+'Distribucion Programas II '!H10</f>
        <v>1907596.5784232374</v>
      </c>
      <c r="I7" s="768">
        <f>+I10</f>
        <v>2036000</v>
      </c>
      <c r="J7" s="863">
        <f>39300000*2-J10</f>
        <v>-2.5792121887207031E-3</v>
      </c>
      <c r="K7" s="866">
        <f>+'Ingreso Contraloría'!C51-K10</f>
        <v>0</v>
      </c>
      <c r="L7" s="768">
        <f>+L10-'Ingreso Interno'!C46</f>
        <v>2434450.9521488808</v>
      </c>
      <c r="M7" s="769"/>
      <c r="N7" s="767"/>
      <c r="O7" s="767"/>
      <c r="P7" s="769"/>
      <c r="R7" s="828">
        <f>+C7+H7+I7-'Ingreso Interno'!F29+'Distribucion Programas II '!L7+'Distribucion Programas II '!M10-'Distribucion Programas II '!M136+'Distribucion Programas II '!N10+'Distribucion Programas II '!O10+Tranferencias!E29-Tranferencias!E15-Tranferencias!E16+'Distrib Programas III Poyectos'!Y54+'Distrib Programas III Poyectos'!Y53</f>
        <v>276594003.5352965</v>
      </c>
      <c r="S7" s="828"/>
      <c r="T7" s="771"/>
      <c r="V7" s="771"/>
    </row>
    <row r="8" spans="1:23" ht="15.75" customHeight="1">
      <c r="A8" s="180"/>
      <c r="B8" s="180"/>
      <c r="C8" s="810"/>
      <c r="D8" s="1009" t="s">
        <v>191</v>
      </c>
      <c r="E8" s="1009"/>
      <c r="F8" s="1009"/>
      <c r="G8" s="1009"/>
      <c r="H8" s="1009"/>
      <c r="I8" s="1009"/>
      <c r="J8" s="1009"/>
      <c r="K8" s="1009"/>
      <c r="L8" s="1009"/>
      <c r="M8" s="1009"/>
      <c r="N8" s="1009"/>
      <c r="O8" s="1009"/>
      <c r="P8" s="1009"/>
      <c r="R8" s="190">
        <f>+R6-R7</f>
        <v>54605996.4647035</v>
      </c>
      <c r="U8" s="213"/>
    </row>
    <row r="9" spans="1:23" s="200" customFormat="1" ht="48" customHeight="1">
      <c r="A9" s="760" t="s">
        <v>1020</v>
      </c>
      <c r="B9" s="760" t="s">
        <v>217</v>
      </c>
      <c r="C9" s="763" t="s">
        <v>1282</v>
      </c>
      <c r="D9" s="761" t="s">
        <v>370</v>
      </c>
      <c r="E9" s="761" t="s">
        <v>390</v>
      </c>
      <c r="F9" s="761" t="s">
        <v>391</v>
      </c>
      <c r="G9" s="761" t="s">
        <v>1283</v>
      </c>
      <c r="H9" s="761" t="s">
        <v>392</v>
      </c>
      <c r="I9" s="761" t="s">
        <v>393</v>
      </c>
      <c r="J9" s="761" t="s">
        <v>1284</v>
      </c>
      <c r="K9" s="761" t="s">
        <v>394</v>
      </c>
      <c r="L9" s="761" t="s">
        <v>395</v>
      </c>
      <c r="M9" s="761" t="s">
        <v>656</v>
      </c>
      <c r="N9" s="761" t="s">
        <v>396</v>
      </c>
      <c r="O9" s="761" t="s">
        <v>431</v>
      </c>
      <c r="P9" s="762" t="s">
        <v>1289</v>
      </c>
      <c r="Q9" s="764" t="s">
        <v>353</v>
      </c>
      <c r="S9" s="547"/>
      <c r="T9" s="547"/>
      <c r="V9" s="547"/>
    </row>
    <row r="10" spans="1:23" ht="27" customHeight="1">
      <c r="A10" s="115"/>
      <c r="B10" s="181" t="s">
        <v>189</v>
      </c>
      <c r="C10" s="812">
        <f>+C11+C52+C126+C170+C198+C223+C255+C298+C324+C341</f>
        <v>15840000.003609959</v>
      </c>
      <c r="D10" s="812">
        <f>+D11+D52+D126+D170+D198+D223+D255+D298+D324+D341</f>
        <v>125335799.99613486</v>
      </c>
      <c r="E10" s="812">
        <f t="shared" ref="E10:P10" si="0">+E11+E52+E126+E170+E198+E223+E255+E298+E324+E341</f>
        <v>1030510.07</v>
      </c>
      <c r="F10" s="812">
        <f t="shared" si="0"/>
        <v>1147000</v>
      </c>
      <c r="G10" s="812">
        <f>+G11+G52+G126+G170+G198+G223+G255+G298+G324+G341</f>
        <v>42300000.003612027</v>
      </c>
      <c r="H10" s="812">
        <f t="shared" si="0"/>
        <v>8207596.5784232374</v>
      </c>
      <c r="I10" s="812">
        <f t="shared" si="0"/>
        <v>2036000</v>
      </c>
      <c r="J10" s="812">
        <f t="shared" ref="J10" si="1">+J11+J52+J126+J170+J198+J223+J255+J298+J324+J341</f>
        <v>78600000.002579212</v>
      </c>
      <c r="K10" s="812">
        <f t="shared" si="0"/>
        <v>3000000</v>
      </c>
      <c r="L10" s="812">
        <f t="shared" si="0"/>
        <v>7184450.9521488808</v>
      </c>
      <c r="M10" s="812">
        <f t="shared" si="0"/>
        <v>17055451.388598144</v>
      </c>
      <c r="N10" s="812">
        <f t="shared" si="0"/>
        <v>160854827.45994252</v>
      </c>
      <c r="O10" s="193">
        <f t="shared" si="0"/>
        <v>11147916.721532103</v>
      </c>
      <c r="P10" s="193">
        <f t="shared" si="0"/>
        <v>0</v>
      </c>
      <c r="Q10" s="191">
        <f>SUM(C10:P10)</f>
        <v>473739553.17658097</v>
      </c>
      <c r="R10" s="304"/>
      <c r="S10" s="549"/>
    </row>
    <row r="11" spans="1:23" ht="15.75" customHeight="1">
      <c r="A11" s="181">
        <v>0</v>
      </c>
      <c r="B11" s="181" t="s">
        <v>190</v>
      </c>
      <c r="C11" s="193">
        <f>+C12+C19+C26+C33+C40+C48</f>
        <v>11953470.889883356</v>
      </c>
      <c r="D11" s="193">
        <f>+D12+D19+D26+D33+D40+D48</f>
        <v>68757546.472122386</v>
      </c>
      <c r="E11" s="193">
        <f t="shared" ref="E11:P11" si="2">+E12+E19+E26+E33+E40+E48</f>
        <v>0</v>
      </c>
      <c r="F11" s="193">
        <f t="shared" si="2"/>
        <v>0</v>
      </c>
      <c r="G11" s="193">
        <f>+G12+G19+G26+G33+G40+G48</f>
        <v>22974657.092541113</v>
      </c>
      <c r="H11" s="193">
        <f t="shared" si="2"/>
        <v>5559753.9022713294</v>
      </c>
      <c r="I11" s="193">
        <f t="shared" si="2"/>
        <v>0</v>
      </c>
      <c r="J11" s="193">
        <f t="shared" ref="J11" si="3">+J12+J19+J26+J33+J40+J48</f>
        <v>49242958.492423795</v>
      </c>
      <c r="K11" s="193">
        <f t="shared" si="2"/>
        <v>0</v>
      </c>
      <c r="L11" s="193">
        <f t="shared" si="2"/>
        <v>6230833.5159636345</v>
      </c>
      <c r="M11" s="193">
        <f t="shared" si="2"/>
        <v>15878811.378302187</v>
      </c>
      <c r="N11" s="193">
        <f t="shared" si="2"/>
        <v>113803840.72769916</v>
      </c>
      <c r="O11" s="193">
        <f t="shared" si="2"/>
        <v>8350180.0584514746</v>
      </c>
      <c r="P11" s="193">
        <f t="shared" si="2"/>
        <v>0</v>
      </c>
      <c r="Q11" s="191">
        <f t="shared" ref="Q11:Q73" si="4">SUM(C11:P11)</f>
        <v>302752052.52965844</v>
      </c>
      <c r="R11" s="526"/>
    </row>
    <row r="12" spans="1:23" ht="15.75" customHeight="1">
      <c r="A12" s="181" t="s">
        <v>218</v>
      </c>
      <c r="B12" s="181" t="s">
        <v>219</v>
      </c>
      <c r="C12" s="193">
        <f>SUM(C13:C17)</f>
        <v>8643191.1642483547</v>
      </c>
      <c r="D12" s="193">
        <f>SUM(D13:D17)</f>
        <v>33167831.216315851</v>
      </c>
      <c r="E12" s="193">
        <f t="shared" ref="E12:P12" si="5">SUM(E13:E17)</f>
        <v>0</v>
      </c>
      <c r="F12" s="193">
        <f t="shared" si="5"/>
        <v>0</v>
      </c>
      <c r="G12" s="193">
        <f>SUM(G13:G17)</f>
        <v>14612275.632172044</v>
      </c>
      <c r="H12" s="193">
        <f t="shared" si="5"/>
        <v>4020088.913603886</v>
      </c>
      <c r="I12" s="193">
        <f t="shared" si="5"/>
        <v>0</v>
      </c>
      <c r="J12" s="193">
        <f t="shared" ref="J12" si="6">SUM(J13:J17)</f>
        <v>35606085.267115161</v>
      </c>
      <c r="K12" s="193">
        <f t="shared" si="5"/>
        <v>0</v>
      </c>
      <c r="L12" s="193">
        <f t="shared" si="5"/>
        <v>4505326.1673693601</v>
      </c>
      <c r="M12" s="193">
        <f t="shared" si="5"/>
        <v>7398239.4035297493</v>
      </c>
      <c r="N12" s="193">
        <f t="shared" si="5"/>
        <v>58290498.795584247</v>
      </c>
      <c r="O12" s="193">
        <f t="shared" si="5"/>
        <v>4730593.8582131565</v>
      </c>
      <c r="P12" s="193">
        <f t="shared" si="5"/>
        <v>0</v>
      </c>
      <c r="Q12" s="191">
        <f t="shared" si="4"/>
        <v>170974130.41815183</v>
      </c>
      <c r="R12" s="213"/>
      <c r="W12" s="190"/>
    </row>
    <row r="13" spans="1:23" ht="15.75" customHeight="1">
      <c r="A13" s="184" t="s">
        <v>296</v>
      </c>
      <c r="B13" s="184" t="s">
        <v>306</v>
      </c>
      <c r="C13" s="193">
        <v>0</v>
      </c>
      <c r="D13" s="193">
        <f>+'[2]Detalle General + % aumento'!$B$10</f>
        <v>30933404.292084649</v>
      </c>
      <c r="E13" s="193">
        <v>0</v>
      </c>
      <c r="F13" s="193"/>
      <c r="G13" s="193">
        <v>0</v>
      </c>
      <c r="H13" s="193">
        <f>+'[2]Detalle General + % aumento'!$B$12</f>
        <v>4020088.913603886</v>
      </c>
      <c r="I13" s="193"/>
      <c r="J13" s="193"/>
      <c r="K13" s="193">
        <f>+'[4]Detalle General + % aumento'!$B$11</f>
        <v>0</v>
      </c>
      <c r="L13" s="193">
        <v>0</v>
      </c>
      <c r="M13" s="381">
        <f>+'[2]Detalle General + % aumento'!$B$14</f>
        <v>7045942.289075952</v>
      </c>
      <c r="N13" s="193">
        <f>+'[2]Detalle General + % aumento'!$B$16</f>
        <v>50864174.040558062</v>
      </c>
      <c r="O13" s="193">
        <f>+'[2]Detalle General + % aumento'!$B$17</f>
        <v>4505327.4840125302</v>
      </c>
      <c r="P13" s="193"/>
      <c r="Q13" s="191">
        <f t="shared" si="4"/>
        <v>97368937.019335076</v>
      </c>
      <c r="R13" s="213"/>
      <c r="W13" s="190"/>
    </row>
    <row r="14" spans="1:23" ht="15.75" customHeight="1">
      <c r="A14" s="184" t="s">
        <v>297</v>
      </c>
      <c r="B14" s="184" t="s">
        <v>308</v>
      </c>
      <c r="C14" s="193">
        <v>0</v>
      </c>
      <c r="D14" s="193">
        <v>0</v>
      </c>
      <c r="E14" s="193">
        <v>0</v>
      </c>
      <c r="F14" s="193"/>
      <c r="G14" s="193">
        <v>2150000</v>
      </c>
      <c r="H14" s="193"/>
      <c r="I14" s="193"/>
      <c r="J14" s="193">
        <v>0</v>
      </c>
      <c r="K14" s="193">
        <v>0</v>
      </c>
      <c r="L14" s="193">
        <v>0</v>
      </c>
      <c r="M14" s="381"/>
      <c r="N14" s="193"/>
      <c r="O14" s="193">
        <v>0</v>
      </c>
      <c r="P14" s="193"/>
      <c r="Q14" s="191">
        <f t="shared" si="4"/>
        <v>2150000</v>
      </c>
      <c r="R14" s="213"/>
      <c r="W14" s="190"/>
    </row>
    <row r="15" spans="1:23" ht="15.75" customHeight="1">
      <c r="A15" s="184" t="s">
        <v>298</v>
      </c>
      <c r="B15" s="184" t="s">
        <v>307</v>
      </c>
      <c r="C15" s="193">
        <f>+'[5]Detalle General + % aumento'!$C$9</f>
        <v>8040177.8272077711</v>
      </c>
      <c r="D15" s="193">
        <v>0</v>
      </c>
      <c r="E15" s="193"/>
      <c r="F15" s="193"/>
      <c r="G15" s="193">
        <f>+'[5]Detalle General + % aumento'!$C$11</f>
        <v>12060266.740811655</v>
      </c>
      <c r="H15" s="193"/>
      <c r="I15" s="193"/>
      <c r="J15" s="193">
        <f>+'[6]Relacion de puestos CECUDI'!$N$22</f>
        <v>32940959.124367021</v>
      </c>
      <c r="K15" s="193"/>
      <c r="L15" s="193">
        <f>+'[2]Detalle General + % aumento'!$C$15</f>
        <v>4505326.1673693601</v>
      </c>
      <c r="M15" s="381">
        <f>+'[2]Detalle General + % aumento'!$C$14</f>
        <v>0</v>
      </c>
      <c r="N15" s="193">
        <f>+'[2]Detalle General + % aumento'!$C$16</f>
        <v>4505327.4840125302</v>
      </c>
      <c r="O15" s="193">
        <v>0</v>
      </c>
      <c r="P15" s="193">
        <v>0</v>
      </c>
      <c r="Q15" s="191">
        <f t="shared" si="4"/>
        <v>62052057.343768336</v>
      </c>
      <c r="R15" s="236"/>
      <c r="W15" s="190"/>
    </row>
    <row r="16" spans="1:23" ht="15.75" customHeight="1">
      <c r="A16" s="184" t="s">
        <v>299</v>
      </c>
      <c r="B16" s="184" t="s">
        <v>309</v>
      </c>
      <c r="C16" s="193">
        <v>0</v>
      </c>
      <c r="D16" s="193">
        <v>0</v>
      </c>
      <c r="E16" s="193"/>
      <c r="F16" s="193"/>
      <c r="G16" s="193">
        <v>0</v>
      </c>
      <c r="H16" s="193"/>
      <c r="I16" s="193"/>
      <c r="J16" s="193"/>
      <c r="K16" s="193"/>
      <c r="L16" s="193"/>
      <c r="M16" s="381"/>
      <c r="N16" s="193"/>
      <c r="O16" s="193"/>
      <c r="P16" s="193"/>
      <c r="Q16" s="191">
        <f t="shared" si="4"/>
        <v>0</v>
      </c>
      <c r="R16" s="213"/>
      <c r="W16" s="190"/>
    </row>
    <row r="17" spans="1:23" ht="15.75" customHeight="1">
      <c r="A17" s="184" t="s">
        <v>300</v>
      </c>
      <c r="B17" s="184" t="s">
        <v>310</v>
      </c>
      <c r="C17" s="193">
        <f>+'[2]Detalle General + % aumento'!$D$9</f>
        <v>603013.3370405829</v>
      </c>
      <c r="D17" s="193">
        <f>+'[2]Detalle General + % aumento'!$D$10</f>
        <v>2234426.9242312</v>
      </c>
      <c r="E17" s="193">
        <v>0</v>
      </c>
      <c r="F17" s="193"/>
      <c r="G17" s="193">
        <f>+'[2]Detalle General + % aumento'!$D$11</f>
        <v>402008.89136038854</v>
      </c>
      <c r="H17" s="193">
        <f>+'[2]Detalle General + % aumento'!$D$12</f>
        <v>0</v>
      </c>
      <c r="I17" s="193">
        <v>0</v>
      </c>
      <c r="J17" s="193">
        <f>+'[6]Relacion de puestos CECUDI'!$N$23</f>
        <v>2665126.1427481407</v>
      </c>
      <c r="K17" s="193">
        <f>+'[4]Detalle General + % aumento'!$D$11</f>
        <v>0</v>
      </c>
      <c r="L17" s="193">
        <f>+'[2]Detalle General + % aumento'!$D$13</f>
        <v>0</v>
      </c>
      <c r="M17" s="381">
        <f>+'[2]Detalle General + % aumento'!$D$14</f>
        <v>352297.11445379758</v>
      </c>
      <c r="N17" s="193">
        <f>+'[2]Detalle General + % aumento'!$D$16</f>
        <v>2920997.2710136552</v>
      </c>
      <c r="O17" s="193">
        <f>+'[2]Detalle General + % aumento'!$D$17</f>
        <v>225266.37420062651</v>
      </c>
      <c r="P17" s="193">
        <f>+'Relacion de Puestos'!M40</f>
        <v>0</v>
      </c>
      <c r="Q17" s="191">
        <f t="shared" si="4"/>
        <v>9403136.0550483931</v>
      </c>
      <c r="R17" s="190"/>
      <c r="W17" s="190"/>
    </row>
    <row r="18" spans="1:23" ht="15.75" customHeight="1">
      <c r="A18" s="183"/>
      <c r="B18" s="186"/>
      <c r="C18" s="193"/>
      <c r="D18" s="193"/>
      <c r="E18" s="193"/>
      <c r="F18" s="193"/>
      <c r="G18" s="193"/>
      <c r="H18" s="193"/>
      <c r="I18" s="193">
        <v>0</v>
      </c>
      <c r="J18" s="193"/>
      <c r="K18" s="193"/>
      <c r="L18" s="193"/>
      <c r="M18" s="381">
        <v>0</v>
      </c>
      <c r="N18" s="193"/>
      <c r="O18" s="193"/>
      <c r="P18" s="193"/>
      <c r="Q18" s="191">
        <f t="shared" si="4"/>
        <v>0</v>
      </c>
      <c r="R18" s="213"/>
    </row>
    <row r="19" spans="1:23" ht="15.75" customHeight="1">
      <c r="A19" s="181" t="s">
        <v>220</v>
      </c>
      <c r="B19" s="181" t="s">
        <v>221</v>
      </c>
      <c r="C19" s="193">
        <f>SUM(C20:C24)</f>
        <v>0</v>
      </c>
      <c r="D19" s="193">
        <f>SUM(D20:D24)</f>
        <v>3781871.85</v>
      </c>
      <c r="E19" s="193">
        <f>SUM(E20:E24)</f>
        <v>0</v>
      </c>
      <c r="F19" s="193">
        <f t="shared" ref="F19:P19" si="7">SUM(F20:F24)</f>
        <v>0</v>
      </c>
      <c r="G19" s="193">
        <f t="shared" si="7"/>
        <v>2000000</v>
      </c>
      <c r="H19" s="193">
        <f t="shared" si="7"/>
        <v>0</v>
      </c>
      <c r="I19" s="193">
        <f t="shared" si="7"/>
        <v>0</v>
      </c>
      <c r="J19" s="193">
        <f t="shared" ref="J19" si="8">SUM(J20:J24)</f>
        <v>0</v>
      </c>
      <c r="K19" s="193">
        <f t="shared" si="7"/>
        <v>0</v>
      </c>
      <c r="L19" s="193">
        <f t="shared" si="7"/>
        <v>0</v>
      </c>
      <c r="M19" s="193">
        <f t="shared" si="7"/>
        <v>0</v>
      </c>
      <c r="N19" s="193">
        <f t="shared" si="7"/>
        <v>5000000</v>
      </c>
      <c r="O19" s="193">
        <f t="shared" si="7"/>
        <v>500000</v>
      </c>
      <c r="P19" s="193">
        <f t="shared" si="7"/>
        <v>0</v>
      </c>
      <c r="Q19" s="191">
        <f t="shared" si="4"/>
        <v>11281871.85</v>
      </c>
      <c r="R19" s="190"/>
    </row>
    <row r="20" spans="1:23" ht="15.75" customHeight="1">
      <c r="A20" s="184" t="s">
        <v>301</v>
      </c>
      <c r="B20" s="184" t="s">
        <v>902</v>
      </c>
      <c r="C20" s="193">
        <v>0</v>
      </c>
      <c r="D20" s="812">
        <f>3795399.2-13527.35</f>
        <v>3781871.85</v>
      </c>
      <c r="E20" s="193">
        <v>0</v>
      </c>
      <c r="F20" s="193"/>
      <c r="G20" s="812">
        <v>2000000</v>
      </c>
      <c r="H20" s="193"/>
      <c r="I20" s="193"/>
      <c r="J20" s="193"/>
      <c r="K20" s="193"/>
      <c r="L20" s="193">
        <v>0</v>
      </c>
      <c r="M20" s="381"/>
      <c r="N20" s="193">
        <v>5000000</v>
      </c>
      <c r="O20" s="193">
        <v>500000</v>
      </c>
      <c r="P20" s="193"/>
      <c r="Q20" s="191">
        <f t="shared" si="4"/>
        <v>11281871.85</v>
      </c>
      <c r="R20" s="213"/>
    </row>
    <row r="21" spans="1:23" ht="15.75" customHeight="1">
      <c r="A21" s="184" t="s">
        <v>302</v>
      </c>
      <c r="B21" s="184" t="s">
        <v>903</v>
      </c>
      <c r="C21" s="193"/>
      <c r="D21" s="193"/>
      <c r="E21" s="193"/>
      <c r="F21" s="193"/>
      <c r="G21" s="193"/>
      <c r="H21" s="193"/>
      <c r="I21" s="193"/>
      <c r="J21" s="193"/>
      <c r="K21" s="193"/>
      <c r="L21" s="193"/>
      <c r="M21" s="381"/>
      <c r="N21" s="193"/>
      <c r="O21" s="193"/>
      <c r="P21" s="193">
        <v>0</v>
      </c>
      <c r="Q21" s="191">
        <f t="shared" si="4"/>
        <v>0</v>
      </c>
      <c r="R21" s="213"/>
    </row>
    <row r="22" spans="1:23" ht="15.75" customHeight="1">
      <c r="A22" s="184" t="s">
        <v>303</v>
      </c>
      <c r="B22" s="184" t="s">
        <v>904</v>
      </c>
      <c r="C22" s="193"/>
      <c r="D22" s="193"/>
      <c r="E22" s="193"/>
      <c r="F22" s="193"/>
      <c r="G22" s="193"/>
      <c r="H22" s="193"/>
      <c r="I22" s="193"/>
      <c r="J22" s="193"/>
      <c r="K22" s="193"/>
      <c r="L22" s="193"/>
      <c r="M22" s="381"/>
      <c r="N22" s="193">
        <v>0</v>
      </c>
      <c r="O22" s="193"/>
      <c r="P22" s="193"/>
      <c r="Q22" s="191">
        <f t="shared" si="4"/>
        <v>0</v>
      </c>
      <c r="R22" s="213"/>
    </row>
    <row r="23" spans="1:23" ht="15.75" customHeight="1">
      <c r="A23" s="184" t="s">
        <v>304</v>
      </c>
      <c r="B23" s="184" t="s">
        <v>905</v>
      </c>
      <c r="C23" s="193">
        <v>0</v>
      </c>
      <c r="D23" s="193">
        <v>0</v>
      </c>
      <c r="E23" s="193"/>
      <c r="F23" s="193"/>
      <c r="G23" s="193">
        <v>0</v>
      </c>
      <c r="H23" s="193">
        <v>0</v>
      </c>
      <c r="I23" s="193"/>
      <c r="J23" s="193">
        <v>0</v>
      </c>
      <c r="K23" s="193">
        <v>0</v>
      </c>
      <c r="L23" s="193">
        <v>0</v>
      </c>
      <c r="M23" s="381"/>
      <c r="N23" s="193">
        <v>0</v>
      </c>
      <c r="O23" s="193">
        <v>0</v>
      </c>
      <c r="P23" s="193"/>
      <c r="Q23" s="191">
        <f t="shared" si="4"/>
        <v>0</v>
      </c>
      <c r="R23" s="213"/>
    </row>
    <row r="24" spans="1:23" ht="15.75" customHeight="1">
      <c r="A24" s="184" t="s">
        <v>305</v>
      </c>
      <c r="B24" s="184" t="s">
        <v>906</v>
      </c>
      <c r="C24" s="193">
        <v>0</v>
      </c>
      <c r="D24" s="193"/>
      <c r="E24" s="193"/>
      <c r="F24" s="193"/>
      <c r="G24" s="193">
        <v>0</v>
      </c>
      <c r="H24" s="193"/>
      <c r="I24" s="193"/>
      <c r="J24" s="193"/>
      <c r="K24" s="193"/>
      <c r="L24" s="193"/>
      <c r="M24" s="381"/>
      <c r="N24" s="193"/>
      <c r="O24" s="193"/>
      <c r="P24" s="193"/>
      <c r="Q24" s="191">
        <f t="shared" si="4"/>
        <v>0</v>
      </c>
    </row>
    <row r="25" spans="1:23" ht="15.75" customHeight="1">
      <c r="A25" s="183"/>
      <c r="B25" s="186"/>
      <c r="C25" s="193"/>
      <c r="D25" s="193"/>
      <c r="E25" s="193">
        <v>0</v>
      </c>
      <c r="F25" s="193"/>
      <c r="G25" s="193"/>
      <c r="H25" s="193"/>
      <c r="I25" s="193"/>
      <c r="J25" s="193"/>
      <c r="K25" s="193"/>
      <c r="L25" s="193"/>
      <c r="M25" s="381"/>
      <c r="N25" s="193"/>
      <c r="O25" s="193"/>
      <c r="P25" s="193"/>
      <c r="Q25" s="191">
        <f t="shared" si="4"/>
        <v>0</v>
      </c>
    </row>
    <row r="26" spans="1:23" ht="15.75" customHeight="1">
      <c r="A26" s="181" t="s">
        <v>222</v>
      </c>
      <c r="B26" s="181" t="s">
        <v>223</v>
      </c>
      <c r="C26" s="193">
        <f>SUM(C27:C31)</f>
        <v>1486821.3641179448</v>
      </c>
      <c r="D26" s="193">
        <f>SUM(D27:D31)</f>
        <v>21319130.613767218</v>
      </c>
      <c r="E26" s="193">
        <f t="shared" ref="E26:P26" si="9">SUM(E27:E31)</f>
        <v>0</v>
      </c>
      <c r="F26" s="193">
        <f t="shared" si="9"/>
        <v>0</v>
      </c>
      <c r="G26" s="193">
        <f>SUM(G27:G31)</f>
        <v>2857681.3641119199</v>
      </c>
      <c r="H26" s="193">
        <f t="shared" si="9"/>
        <v>691544.82051997434</v>
      </c>
      <c r="I26" s="193">
        <f t="shared" si="9"/>
        <v>0</v>
      </c>
      <c r="J26" s="193">
        <f t="shared" ref="J26" si="10">SUM(J27:J31)</f>
        <v>6125039.6134627061</v>
      </c>
      <c r="K26" s="193">
        <f t="shared" si="9"/>
        <v>0</v>
      </c>
      <c r="L26" s="193">
        <f t="shared" si="9"/>
        <v>775016.43440127722</v>
      </c>
      <c r="M26" s="193">
        <f t="shared" si="9"/>
        <v>6058317.2467986215</v>
      </c>
      <c r="N26" s="193">
        <f t="shared" si="9"/>
        <v>33152981.342346203</v>
      </c>
      <c r="O26" s="193">
        <f t="shared" si="9"/>
        <v>1794611.8692635568</v>
      </c>
      <c r="P26" s="193">
        <f t="shared" si="9"/>
        <v>0</v>
      </c>
      <c r="Q26" s="191">
        <f t="shared" si="4"/>
        <v>74261144.668789417</v>
      </c>
    </row>
    <row r="27" spans="1:23" ht="15.75" customHeight="1">
      <c r="A27" s="184" t="s">
        <v>311</v>
      </c>
      <c r="B27" s="184" t="s">
        <v>316</v>
      </c>
      <c r="C27" s="193">
        <v>0</v>
      </c>
      <c r="D27" s="193">
        <f>+'[2]Detalle General + % aumento'!$E$10</f>
        <v>13053075.409441411</v>
      </c>
      <c r="E27" s="193">
        <v>0</v>
      </c>
      <c r="F27" s="193"/>
      <c r="G27" s="193">
        <v>0</v>
      </c>
      <c r="H27" s="193">
        <f>+'[4]Detalle General + % aumento'!$E$10</f>
        <v>0</v>
      </c>
      <c r="I27" s="193"/>
      <c r="J27" s="193">
        <v>0</v>
      </c>
      <c r="K27" s="193">
        <f>+'[4]Detalle General + % aumento'!$E$11</f>
        <v>0</v>
      </c>
      <c r="L27" s="193">
        <v>0</v>
      </c>
      <c r="M27" s="381">
        <f>+'[2]Detalle General + % aumento'!$E$14</f>
        <v>1264869.1395832191</v>
      </c>
      <c r="N27" s="193">
        <f>+'[2]Detalle General + % aumento'!$E$16</f>
        <v>12808288.783917975</v>
      </c>
      <c r="O27" s="193">
        <f>+'[2]Detalle General + % aumento'!$E$17</f>
        <v>763495.08301209274</v>
      </c>
      <c r="P27" s="193"/>
      <c r="Q27" s="191">
        <f t="shared" si="4"/>
        <v>27889728.415954698</v>
      </c>
    </row>
    <row r="28" spans="1:23" ht="15.75" customHeight="1">
      <c r="A28" s="184" t="s">
        <v>312</v>
      </c>
      <c r="B28" s="184" t="s">
        <v>317</v>
      </c>
      <c r="C28" s="193">
        <v>0</v>
      </c>
      <c r="D28" s="193">
        <f>+'[7]Relacion de Puestos'!$F$9</f>
        <v>0</v>
      </c>
      <c r="E28" s="193"/>
      <c r="F28" s="193"/>
      <c r="G28" s="193">
        <v>0</v>
      </c>
      <c r="H28" s="193"/>
      <c r="I28" s="193"/>
      <c r="J28" s="193"/>
      <c r="K28" s="193"/>
      <c r="L28" s="193"/>
      <c r="M28" s="381">
        <f>+'[2]Detalle General + % aumento'!$F$14</f>
        <v>2818376.9156303806</v>
      </c>
      <c r="N28" s="193">
        <f>+'[2]Detalle General + % aumento'!$F$16</f>
        <v>6189307.6270252541</v>
      </c>
      <c r="O28" s="193"/>
      <c r="P28" s="193"/>
      <c r="Q28" s="191">
        <f t="shared" si="4"/>
        <v>9007684.5426556356</v>
      </c>
    </row>
    <row r="29" spans="1:23" ht="15.75" customHeight="1">
      <c r="A29" s="184" t="s">
        <v>313</v>
      </c>
      <c r="B29" s="184" t="s">
        <v>318</v>
      </c>
      <c r="C29" s="193">
        <f>+(C13+C14+C15+C16+C17+C20+C27+C28+C30+C31)*8.33%</f>
        <v>778944.00776600454</v>
      </c>
      <c r="D29" s="193">
        <f t="shared" ref="D29:P29" si="11">+(D13+D14+D15+D16+D17+D20+D27+D28+D30+D31)*8.33%</f>
        <v>4480562.9516762849</v>
      </c>
      <c r="E29" s="193">
        <f t="shared" si="11"/>
        <v>0</v>
      </c>
      <c r="F29" s="193">
        <f t="shared" si="11"/>
        <v>0</v>
      </c>
      <c r="G29" s="193">
        <f t="shared" si="11"/>
        <v>1497135.9898370297</v>
      </c>
      <c r="H29" s="193">
        <f t="shared" si="11"/>
        <v>362299.53849581606</v>
      </c>
      <c r="I29" s="193">
        <f t="shared" si="11"/>
        <v>0</v>
      </c>
      <c r="J29" s="193">
        <f t="shared" si="11"/>
        <v>3208901.2300859746</v>
      </c>
      <c r="K29" s="193">
        <f t="shared" si="11"/>
        <v>0</v>
      </c>
      <c r="L29" s="193">
        <f t="shared" si="11"/>
        <v>406030.22129372664</v>
      </c>
      <c r="M29" s="193">
        <f t="shared" si="11"/>
        <v>1034737.532513942</v>
      </c>
      <c r="N29" s="193">
        <f t="shared" si="11"/>
        <v>7415989.9339883747</v>
      </c>
      <c r="O29" s="193">
        <f t="shared" si="11"/>
        <v>540200.90196511603</v>
      </c>
      <c r="P29" s="193">
        <f t="shared" si="11"/>
        <v>0</v>
      </c>
      <c r="Q29" s="193">
        <f>+(Q13+Q14+Q15+Q16+Q17+Q20+Q27+Q28+Q30)/12</f>
        <v>19758506.661152832</v>
      </c>
      <c r="R29" s="213"/>
    </row>
    <row r="30" spans="1:23" ht="15.75" customHeight="1">
      <c r="A30" s="184" t="s">
        <v>314</v>
      </c>
      <c r="B30" s="184" t="s">
        <v>319</v>
      </c>
      <c r="C30" s="193">
        <f>+(C13+C17+C27+C15)*8.19%</f>
        <v>707877.35635194031</v>
      </c>
      <c r="D30" s="193">
        <f>+(D13+D17+D27+D15)*8.19%</f>
        <v>3785492.2526495196</v>
      </c>
      <c r="E30" s="193">
        <f t="shared" ref="E30:F30" si="12">+(E13+E17+E27+E15)*8.19%</f>
        <v>0</v>
      </c>
      <c r="F30" s="193">
        <f t="shared" si="12"/>
        <v>0</v>
      </c>
      <c r="G30" s="193">
        <f t="shared" ref="G30" si="13">+(G13+G14+G15+G16+G17+G20+G27+G28)*8.19%</f>
        <v>1360545.3742748904</v>
      </c>
      <c r="H30" s="193">
        <f t="shared" ref="H30:Q30" si="14">+(H13+H14+H15+H16+H17+H20+H27+H28)*8.19%</f>
        <v>329245.28202415828</v>
      </c>
      <c r="I30" s="193">
        <f t="shared" si="14"/>
        <v>0</v>
      </c>
      <c r="J30" s="193">
        <f t="shared" si="14"/>
        <v>2916138.3833767315</v>
      </c>
      <c r="K30" s="193">
        <f t="shared" si="14"/>
        <v>0</v>
      </c>
      <c r="L30" s="193">
        <f t="shared" si="14"/>
        <v>368986.21310755057</v>
      </c>
      <c r="M30" s="193">
        <f t="shared" si="14"/>
        <v>940333.65907108027</v>
      </c>
      <c r="N30" s="193">
        <f t="shared" si="14"/>
        <v>6739394.9974146001</v>
      </c>
      <c r="O30" s="193">
        <f t="shared" si="14"/>
        <v>490915.88428634795</v>
      </c>
      <c r="P30" s="193">
        <f t="shared" si="14"/>
        <v>0</v>
      </c>
      <c r="Q30" s="193">
        <f t="shared" si="14"/>
        <v>17948664.707071822</v>
      </c>
    </row>
    <row r="31" spans="1:23" ht="15.75" customHeight="1">
      <c r="A31" s="184" t="s">
        <v>315</v>
      </c>
      <c r="B31" s="184" t="s">
        <v>320</v>
      </c>
      <c r="C31" s="193"/>
      <c r="D31" s="193"/>
      <c r="E31" s="193"/>
      <c r="F31" s="193"/>
      <c r="G31" s="193"/>
      <c r="H31" s="193"/>
      <c r="I31" s="193"/>
      <c r="J31" s="193"/>
      <c r="K31" s="193"/>
      <c r="L31" s="193"/>
      <c r="M31" s="193"/>
      <c r="N31" s="193"/>
      <c r="O31" s="193"/>
      <c r="P31" s="193">
        <f>+(P13+P27)*8.19%</f>
        <v>0</v>
      </c>
      <c r="Q31" s="191">
        <f t="shared" si="4"/>
        <v>0</v>
      </c>
    </row>
    <row r="32" spans="1:23" ht="15.75" customHeight="1">
      <c r="A32" s="183" t="s">
        <v>224</v>
      </c>
      <c r="B32" s="186"/>
      <c r="C32" s="193"/>
      <c r="D32" s="193"/>
      <c r="E32" s="193"/>
      <c r="F32" s="193"/>
      <c r="G32" s="193"/>
      <c r="H32" s="193"/>
      <c r="I32" s="193"/>
      <c r="J32" s="193"/>
      <c r="K32" s="193"/>
      <c r="L32" s="193"/>
      <c r="M32" s="381"/>
      <c r="N32" s="193"/>
      <c r="O32" s="193"/>
      <c r="P32" s="193"/>
      <c r="Q32" s="191">
        <f t="shared" si="4"/>
        <v>0</v>
      </c>
    </row>
    <row r="33" spans="1:18" ht="27" customHeight="1">
      <c r="A33" s="181" t="s">
        <v>321</v>
      </c>
      <c r="B33" s="284" t="s">
        <v>346</v>
      </c>
      <c r="C33" s="193">
        <f>SUM(C34:C38)</f>
        <v>911729.18075852876</v>
      </c>
      <c r="D33" s="193">
        <f>SUM(D34:D38)</f>
        <v>5244356.3960196618</v>
      </c>
      <c r="E33" s="193">
        <f t="shared" ref="E33:P33" si="15">SUM(E34:E38)</f>
        <v>0</v>
      </c>
      <c r="F33" s="193">
        <f t="shared" si="15"/>
        <v>0</v>
      </c>
      <c r="G33" s="193">
        <f>SUM(G34:G38)</f>
        <v>1752350.0481285763</v>
      </c>
      <c r="H33" s="193">
        <f t="shared" si="15"/>
        <v>424060.0840737343</v>
      </c>
      <c r="I33" s="193">
        <f t="shared" si="15"/>
        <v>0</v>
      </c>
      <c r="J33" s="193">
        <f t="shared" ref="J33" si="16">SUM(J34:J38)</f>
        <v>3755916.8059229595</v>
      </c>
      <c r="K33" s="193">
        <f t="shared" si="15"/>
        <v>0</v>
      </c>
      <c r="L33" s="193">
        <f t="shared" si="15"/>
        <v>475245.45709649881</v>
      </c>
      <c r="M33" s="193">
        <f t="shared" si="15"/>
        <v>1211127.3639869068</v>
      </c>
      <c r="N33" s="193">
        <f t="shared" si="15"/>
        <v>8680180.294884352</v>
      </c>
      <c r="O33" s="193">
        <f t="shared" si="15"/>
        <v>662487.17048738082</v>
      </c>
      <c r="P33" s="193">
        <f t="shared" si="15"/>
        <v>0</v>
      </c>
      <c r="Q33" s="191">
        <f t="shared" si="4"/>
        <v>23117452.801358599</v>
      </c>
      <c r="R33" s="213"/>
    </row>
    <row r="34" spans="1:18" ht="30.75" customHeight="1">
      <c r="A34" s="184" t="s">
        <v>322</v>
      </c>
      <c r="B34" s="184" t="s">
        <v>443</v>
      </c>
      <c r="C34" s="193">
        <f t="shared" ref="C34:Q34" si="17">(+C12+C20+C27+C28+C30)*9.25%</f>
        <v>864973.83815552725</v>
      </c>
      <c r="D34" s="193">
        <f t="shared" si="17"/>
        <v>4975415.0423776275</v>
      </c>
      <c r="E34" s="193">
        <f t="shared" si="17"/>
        <v>0</v>
      </c>
      <c r="F34" s="193">
        <f t="shared" si="17"/>
        <v>0</v>
      </c>
      <c r="G34" s="193">
        <f t="shared" si="17"/>
        <v>1662485.9430963416</v>
      </c>
      <c r="H34" s="193">
        <f t="shared" si="17"/>
        <v>402313.41309559409</v>
      </c>
      <c r="I34" s="193">
        <f t="shared" si="17"/>
        <v>0</v>
      </c>
      <c r="J34" s="193">
        <f t="shared" si="17"/>
        <v>3563305.6876705</v>
      </c>
      <c r="K34" s="193">
        <f t="shared" si="17"/>
        <v>0</v>
      </c>
      <c r="L34" s="193">
        <f t="shared" si="17"/>
        <v>450873.89519411424</v>
      </c>
      <c r="M34" s="193">
        <f t="shared" si="17"/>
        <v>1149018.2683978346</v>
      </c>
      <c r="N34" s="193">
        <f t="shared" si="17"/>
        <v>8235042.8438646421</v>
      </c>
      <c r="O34" s="193">
        <f>(+O12+O20+O27+O28+O30)*9.25%+28650.52</f>
        <v>628513.46635982278</v>
      </c>
      <c r="P34" s="193">
        <f t="shared" si="17"/>
        <v>0</v>
      </c>
      <c r="Q34" s="193">
        <f t="shared" si="17"/>
        <v>21931942.393879645</v>
      </c>
      <c r="R34" s="190"/>
    </row>
    <row r="35" spans="1:18" ht="15.75" customHeight="1">
      <c r="A35" s="184" t="s">
        <v>323</v>
      </c>
      <c r="B35" s="184" t="s">
        <v>444</v>
      </c>
      <c r="C35" s="193"/>
      <c r="D35" s="193"/>
      <c r="E35" s="193"/>
      <c r="F35" s="193"/>
      <c r="G35" s="193"/>
      <c r="H35" s="193"/>
      <c r="I35" s="193"/>
      <c r="J35" s="193"/>
      <c r="K35" s="193"/>
      <c r="L35" s="193"/>
      <c r="M35" s="193"/>
      <c r="N35" s="193"/>
      <c r="O35" s="193"/>
      <c r="P35" s="193"/>
      <c r="Q35" s="191">
        <f t="shared" si="4"/>
        <v>0</v>
      </c>
      <c r="R35" s="190"/>
    </row>
    <row r="36" spans="1:18" ht="15.75" customHeight="1">
      <c r="A36" s="184" t="s">
        <v>324</v>
      </c>
      <c r="B36" s="184" t="s">
        <v>445</v>
      </c>
      <c r="C36" s="193"/>
      <c r="D36" s="193"/>
      <c r="E36" s="193"/>
      <c r="F36" s="193"/>
      <c r="G36" s="193"/>
      <c r="H36" s="193"/>
      <c r="I36" s="193"/>
      <c r="J36" s="193"/>
      <c r="K36" s="193"/>
      <c r="L36" s="193"/>
      <c r="M36" s="193"/>
      <c r="N36" s="193"/>
      <c r="O36" s="193"/>
      <c r="P36" s="193"/>
      <c r="Q36" s="191">
        <f t="shared" si="4"/>
        <v>0</v>
      </c>
      <c r="R36" s="190"/>
    </row>
    <row r="37" spans="1:18" ht="15.75" customHeight="1">
      <c r="A37" s="184" t="s">
        <v>325</v>
      </c>
      <c r="B37" s="184" t="s">
        <v>446</v>
      </c>
      <c r="C37" s="193"/>
      <c r="D37" s="193"/>
      <c r="E37" s="193"/>
      <c r="F37" s="193"/>
      <c r="G37" s="193"/>
      <c r="H37" s="193"/>
      <c r="I37" s="193"/>
      <c r="J37" s="193"/>
      <c r="K37" s="193"/>
      <c r="L37" s="193"/>
      <c r="M37" s="193"/>
      <c r="N37" s="193"/>
      <c r="O37" s="193"/>
      <c r="P37" s="193"/>
      <c r="Q37" s="191">
        <f t="shared" si="4"/>
        <v>0</v>
      </c>
      <c r="R37" s="190"/>
    </row>
    <row r="38" spans="1:18" ht="15.75" customHeight="1">
      <c r="A38" s="184" t="s">
        <v>326</v>
      </c>
      <c r="B38" s="184" t="s">
        <v>447</v>
      </c>
      <c r="C38" s="812">
        <f>(+C12+C20+C27+C28+C30)*0.5%</f>
        <v>46755.342603001474</v>
      </c>
      <c r="D38" s="812">
        <f t="shared" ref="D38:Q38" si="18">(+D12+D20+D27+D28+D30)*0.5%</f>
        <v>268941.35364203394</v>
      </c>
      <c r="E38" s="812">
        <f t="shared" si="18"/>
        <v>0</v>
      </c>
      <c r="F38" s="812">
        <f t="shared" si="18"/>
        <v>0</v>
      </c>
      <c r="G38" s="812">
        <f t="shared" si="18"/>
        <v>89864.105032234671</v>
      </c>
      <c r="H38" s="812">
        <f t="shared" si="18"/>
        <v>21746.670978140221</v>
      </c>
      <c r="I38" s="812">
        <f t="shared" si="18"/>
        <v>0</v>
      </c>
      <c r="J38" s="812">
        <f t="shared" si="18"/>
        <v>192611.11825245948</v>
      </c>
      <c r="K38" s="812">
        <f t="shared" si="18"/>
        <v>0</v>
      </c>
      <c r="L38" s="812">
        <f t="shared" si="18"/>
        <v>24371.561902384554</v>
      </c>
      <c r="M38" s="812">
        <f t="shared" si="18"/>
        <v>62109.095589072145</v>
      </c>
      <c r="N38" s="812">
        <f t="shared" si="18"/>
        <v>445137.4510197104</v>
      </c>
      <c r="O38" s="812">
        <f>(+O12+O20+O27+O28+O30)*0.5%+1548.68</f>
        <v>33973.704127557983</v>
      </c>
      <c r="P38" s="812">
        <f t="shared" si="18"/>
        <v>0</v>
      </c>
      <c r="Q38" s="812">
        <f t="shared" si="18"/>
        <v>1185510.3996691699</v>
      </c>
      <c r="R38" s="190"/>
    </row>
    <row r="39" spans="1:18" ht="15.75" customHeight="1">
      <c r="A39" s="184" t="s">
        <v>224</v>
      </c>
      <c r="B39" s="184"/>
      <c r="C39" s="193"/>
      <c r="D39" s="193"/>
      <c r="E39" s="193"/>
      <c r="F39" s="193"/>
      <c r="G39" s="193"/>
      <c r="H39" s="193"/>
      <c r="I39" s="193"/>
      <c r="J39" s="193"/>
      <c r="K39" s="193"/>
      <c r="L39" s="193"/>
      <c r="M39" s="381"/>
      <c r="N39" s="193"/>
      <c r="O39" s="193"/>
      <c r="P39" s="193"/>
      <c r="Q39" s="191">
        <f t="shared" si="4"/>
        <v>0</v>
      </c>
    </row>
    <row r="40" spans="1:18" ht="15.75" customHeight="1">
      <c r="A40" s="181" t="s">
        <v>327</v>
      </c>
      <c r="B40" s="181" t="s">
        <v>328</v>
      </c>
      <c r="C40" s="214">
        <f>SUM(C42:C46)</f>
        <v>911729.18075852864</v>
      </c>
      <c r="D40" s="214">
        <f>SUM(D42:D46)</f>
        <v>5244356.3960196618</v>
      </c>
      <c r="E40" s="214">
        <f t="shared" ref="E40:P40" si="19">SUM(E42:E46)</f>
        <v>0</v>
      </c>
      <c r="F40" s="214">
        <f t="shared" si="19"/>
        <v>0</v>
      </c>
      <c r="G40" s="214">
        <f>SUM(G42:G46)</f>
        <v>1752350.048128576</v>
      </c>
      <c r="H40" s="214">
        <f t="shared" si="19"/>
        <v>424060.0840737343</v>
      </c>
      <c r="I40" s="214">
        <f t="shared" si="19"/>
        <v>0</v>
      </c>
      <c r="J40" s="214">
        <f t="shared" ref="J40" si="20">SUM(J42:J46)</f>
        <v>3755916.8059229595</v>
      </c>
      <c r="K40" s="214">
        <f t="shared" si="19"/>
        <v>0</v>
      </c>
      <c r="L40" s="214">
        <f t="shared" si="19"/>
        <v>475245.45709649869</v>
      </c>
      <c r="M40" s="214">
        <f t="shared" si="19"/>
        <v>1211127.3639869068</v>
      </c>
      <c r="N40" s="214">
        <f t="shared" si="19"/>
        <v>8680180.2948843539</v>
      </c>
      <c r="O40" s="214">
        <f t="shared" si="19"/>
        <v>662487.16048738069</v>
      </c>
      <c r="P40" s="214">
        <f t="shared" si="19"/>
        <v>0</v>
      </c>
      <c r="Q40" s="191">
        <f t="shared" si="4"/>
        <v>23117452.791358601</v>
      </c>
      <c r="R40" s="213"/>
    </row>
    <row r="41" spans="1:18" ht="15.75" customHeight="1">
      <c r="A41" s="181"/>
      <c r="B41" s="181" t="s">
        <v>225</v>
      </c>
      <c r="C41" s="189"/>
      <c r="D41" s="189"/>
      <c r="E41" s="189"/>
      <c r="F41" s="189"/>
      <c r="G41" s="189"/>
      <c r="H41" s="189"/>
      <c r="I41" s="189"/>
      <c r="J41" s="189"/>
      <c r="K41" s="189"/>
      <c r="L41" s="189"/>
      <c r="M41" s="382"/>
      <c r="N41" s="189"/>
      <c r="O41" s="189"/>
      <c r="P41" s="189"/>
      <c r="Q41" s="191">
        <f t="shared" si="4"/>
        <v>0</v>
      </c>
    </row>
    <row r="42" spans="1:18" ht="33.75" customHeight="1">
      <c r="A42" s="184" t="s">
        <v>329</v>
      </c>
      <c r="B42" s="184" t="s">
        <v>342</v>
      </c>
      <c r="C42" s="193">
        <f t="shared" ref="C42:G42" si="21">(C13+C14+C15+C16+C17+C20+C27+C28+C30)*5.25%</f>
        <v>490931.09733151546</v>
      </c>
      <c r="D42" s="193">
        <f t="shared" si="21"/>
        <v>2823884.2132413564</v>
      </c>
      <c r="E42" s="193">
        <f t="shared" si="21"/>
        <v>0</v>
      </c>
      <c r="F42" s="193">
        <f t="shared" si="21"/>
        <v>0</v>
      </c>
      <c r="G42" s="193">
        <f t="shared" si="21"/>
        <v>943573.10283846408</v>
      </c>
      <c r="H42" s="193">
        <f t="shared" ref="H42:P42" si="22">(H13+H14+H15+H16+H17+H20+H27+H28+H30)*5.25%</f>
        <v>228340.0452704723</v>
      </c>
      <c r="I42" s="193">
        <f t="shared" si="22"/>
        <v>0</v>
      </c>
      <c r="J42" s="193">
        <f t="shared" si="22"/>
        <v>2022416.7416508244</v>
      </c>
      <c r="K42" s="193">
        <f t="shared" si="22"/>
        <v>0</v>
      </c>
      <c r="L42" s="193">
        <f t="shared" si="22"/>
        <v>255901.39997503778</v>
      </c>
      <c r="M42" s="193">
        <f t="shared" si="22"/>
        <v>652145.50368525751</v>
      </c>
      <c r="N42" s="193">
        <f t="shared" si="22"/>
        <v>4673943.2357069589</v>
      </c>
      <c r="O42" s="193">
        <f>(O13+O14+O15+O16+O17+O20+O27+O28+O30)*5.25%+16261.1</f>
        <v>356723.85333935881</v>
      </c>
      <c r="P42" s="193">
        <f t="shared" si="22"/>
        <v>0</v>
      </c>
      <c r="Q42" s="193">
        <f>(Q12+Q20+Q27+Q28+Q30)*5.25%</f>
        <v>12447859.196526283</v>
      </c>
      <c r="R42" s="190"/>
    </row>
    <row r="43" spans="1:18" ht="27" customHeight="1">
      <c r="A43" s="738" t="s">
        <v>1298</v>
      </c>
      <c r="B43" s="215" t="s">
        <v>343</v>
      </c>
      <c r="C43" s="193">
        <f>+(C13+C14+C15+C16+C17+C20+C21+C22+C23+C27+C28+C30+C31)*1.5%</f>
        <v>140266.02780900442</v>
      </c>
      <c r="D43" s="193">
        <f t="shared" ref="D43" si="23">+(D13+D14+D15+D16+D17+D20+D21+D22+D23+D27+D28+D30+D31)*1.5%</f>
        <v>806824.06092610175</v>
      </c>
      <c r="E43" s="193">
        <f t="shared" ref="E43:P43" si="24">+(E13+E14+E15+E16+E17+E20+E21+E22+E23+E27+E28+E30+E31)*1.5%</f>
        <v>0</v>
      </c>
      <c r="F43" s="193">
        <f t="shared" si="24"/>
        <v>0</v>
      </c>
      <c r="G43" s="193">
        <f t="shared" si="24"/>
        <v>269592.315096704</v>
      </c>
      <c r="H43" s="193">
        <f t="shared" si="24"/>
        <v>65240.012934420658</v>
      </c>
      <c r="I43" s="193">
        <f t="shared" si="24"/>
        <v>0</v>
      </c>
      <c r="J43" s="193">
        <f t="shared" si="24"/>
        <v>577833.35475737834</v>
      </c>
      <c r="K43" s="193">
        <f t="shared" si="24"/>
        <v>0</v>
      </c>
      <c r="L43" s="193">
        <f t="shared" si="24"/>
        <v>73114.685707153651</v>
      </c>
      <c r="M43" s="193">
        <f t="shared" si="24"/>
        <v>186327.28676721643</v>
      </c>
      <c r="N43" s="193">
        <f t="shared" si="24"/>
        <v>1335412.3530591312</v>
      </c>
      <c r="O43" s="193">
        <f>+(O13+O14+O15+O16+O17+O20+O21+O22+O23+O27+O28+O30+O31)*1.5%+4646.03</f>
        <v>101921.10238267395</v>
      </c>
      <c r="P43" s="193">
        <f t="shared" si="24"/>
        <v>0</v>
      </c>
      <c r="Q43" s="193">
        <f>+(Q12+Q20+Q27+Q28+Q30)*1.5%</f>
        <v>3556531.1990075097</v>
      </c>
      <c r="R43" s="190"/>
    </row>
    <row r="44" spans="1:18" ht="15.75" customHeight="1">
      <c r="A44" s="184" t="s">
        <v>331</v>
      </c>
      <c r="B44" s="184" t="s">
        <v>341</v>
      </c>
      <c r="C44" s="193">
        <f>+(C13+C14+C15+C16+C17+C20+C27+C28+C30)*3%</f>
        <v>280532.05561800883</v>
      </c>
      <c r="D44" s="193">
        <f t="shared" ref="D44" si="25">+(D13+D14+D15+D16+D17+D20+D27+D28+D30)*3%</f>
        <v>1613648.1218522035</v>
      </c>
      <c r="E44" s="193">
        <f t="shared" ref="E44:P44" si="26">+(E13+E14+E15+E16+E17+E20+E27+E28+E30)*3%</f>
        <v>0</v>
      </c>
      <c r="F44" s="193">
        <f t="shared" si="26"/>
        <v>0</v>
      </c>
      <c r="G44" s="193">
        <f t="shared" si="26"/>
        <v>539184.630193408</v>
      </c>
      <c r="H44" s="193">
        <f t="shared" si="26"/>
        <v>130480.02586884132</v>
      </c>
      <c r="I44" s="193">
        <f t="shared" si="26"/>
        <v>0</v>
      </c>
      <c r="J44" s="193">
        <f t="shared" si="26"/>
        <v>1155666.7095147567</v>
      </c>
      <c r="K44" s="193">
        <f t="shared" si="26"/>
        <v>0</v>
      </c>
      <c r="L44" s="193">
        <f t="shared" si="26"/>
        <v>146229.3714143073</v>
      </c>
      <c r="M44" s="193">
        <f t="shared" si="26"/>
        <v>372654.57353443286</v>
      </c>
      <c r="N44" s="193">
        <f t="shared" si="26"/>
        <v>2670824.7061182624</v>
      </c>
      <c r="O44" s="193">
        <f>+(O13+O14+O15+O16+O17+O20+O27+O28+O30)*3%+9292.06</f>
        <v>203842.20476534791</v>
      </c>
      <c r="P44" s="193">
        <f t="shared" si="26"/>
        <v>0</v>
      </c>
      <c r="Q44" s="193">
        <f>+(Q12+Q20+Q27+Q28+Q30)*3%</f>
        <v>7113062.3980150195</v>
      </c>
      <c r="R44" s="190"/>
    </row>
    <row r="45" spans="1:18" ht="30" customHeight="1">
      <c r="A45" s="184" t="s">
        <v>332</v>
      </c>
      <c r="B45" s="215" t="s">
        <v>344</v>
      </c>
      <c r="C45" s="193"/>
      <c r="D45" s="193"/>
      <c r="E45" s="193"/>
      <c r="F45" s="193"/>
      <c r="G45" s="193"/>
      <c r="H45" s="193"/>
      <c r="I45" s="193"/>
      <c r="J45" s="193"/>
      <c r="K45" s="193"/>
      <c r="L45" s="193"/>
      <c r="M45" s="381"/>
      <c r="N45" s="193"/>
      <c r="O45" s="193"/>
      <c r="P45" s="193"/>
      <c r="Q45" s="191">
        <f t="shared" si="4"/>
        <v>0</v>
      </c>
    </row>
    <row r="46" spans="1:18" ht="15.75" customHeight="1">
      <c r="A46" s="184" t="s">
        <v>333</v>
      </c>
      <c r="B46" s="184" t="s">
        <v>345</v>
      </c>
      <c r="C46" s="193"/>
      <c r="D46" s="193"/>
      <c r="E46" s="193"/>
      <c r="F46" s="193"/>
      <c r="G46" s="193"/>
      <c r="H46" s="193"/>
      <c r="I46" s="193"/>
      <c r="J46" s="193"/>
      <c r="K46" s="193"/>
      <c r="L46" s="193"/>
      <c r="M46" s="381"/>
      <c r="N46" s="193"/>
      <c r="O46" s="193"/>
      <c r="P46" s="193"/>
      <c r="Q46" s="191">
        <f t="shared" si="4"/>
        <v>0</v>
      </c>
    </row>
    <row r="47" spans="1:18" ht="15.75" customHeight="1">
      <c r="A47" s="184"/>
      <c r="B47" s="184"/>
      <c r="C47" s="193"/>
      <c r="D47" s="193"/>
      <c r="E47" s="193"/>
      <c r="F47" s="193"/>
      <c r="G47" s="193"/>
      <c r="H47" s="193"/>
      <c r="I47" s="193"/>
      <c r="J47" s="193"/>
      <c r="K47" s="193"/>
      <c r="L47" s="193"/>
      <c r="M47" s="381"/>
      <c r="N47" s="193"/>
      <c r="O47" s="193"/>
      <c r="P47" s="193"/>
      <c r="Q47" s="191">
        <f t="shared" si="4"/>
        <v>0</v>
      </c>
    </row>
    <row r="48" spans="1:18" ht="15.75" customHeight="1">
      <c r="A48" s="181" t="s">
        <v>335</v>
      </c>
      <c r="B48" s="181" t="s">
        <v>334</v>
      </c>
      <c r="C48" s="193">
        <f>SUM(C49:C50)</f>
        <v>0</v>
      </c>
      <c r="D48" s="193">
        <f>SUM(D49:D50)</f>
        <v>0</v>
      </c>
      <c r="E48" s="193">
        <f t="shared" ref="E48:P48" si="27">SUM(E49:E50)</f>
        <v>0</v>
      </c>
      <c r="F48" s="193">
        <f t="shared" si="27"/>
        <v>0</v>
      </c>
      <c r="G48" s="193"/>
      <c r="H48" s="193">
        <f t="shared" si="27"/>
        <v>0</v>
      </c>
      <c r="I48" s="193">
        <f t="shared" si="27"/>
        <v>0</v>
      </c>
      <c r="J48" s="193">
        <f t="shared" ref="J48" si="28">SUM(J49:J50)</f>
        <v>0</v>
      </c>
      <c r="K48" s="193">
        <f t="shared" si="27"/>
        <v>0</v>
      </c>
      <c r="L48" s="193">
        <f t="shared" si="27"/>
        <v>0</v>
      </c>
      <c r="M48" s="193">
        <f t="shared" si="27"/>
        <v>0</v>
      </c>
      <c r="N48" s="193">
        <f t="shared" si="27"/>
        <v>0</v>
      </c>
      <c r="O48" s="193">
        <f t="shared" si="27"/>
        <v>0</v>
      </c>
      <c r="P48" s="193">
        <f t="shared" si="27"/>
        <v>0</v>
      </c>
      <c r="Q48" s="191">
        <f t="shared" si="4"/>
        <v>0</v>
      </c>
    </row>
    <row r="49" spans="1:17" ht="15.75" customHeight="1">
      <c r="A49" s="184" t="s">
        <v>337</v>
      </c>
      <c r="B49" s="184" t="s">
        <v>339</v>
      </c>
      <c r="C49" s="193"/>
      <c r="D49" s="193"/>
      <c r="E49" s="193"/>
      <c r="F49" s="193"/>
      <c r="G49" s="193"/>
      <c r="H49" s="193"/>
      <c r="I49" s="193"/>
      <c r="J49" s="193"/>
      <c r="K49" s="193"/>
      <c r="L49" s="193"/>
      <c r="M49" s="381"/>
      <c r="N49" s="193"/>
      <c r="O49" s="193"/>
      <c r="P49" s="193"/>
      <c r="Q49" s="191">
        <f t="shared" si="4"/>
        <v>0</v>
      </c>
    </row>
    <row r="50" spans="1:17" ht="15.75" customHeight="1">
      <c r="A50" s="184" t="s">
        <v>338</v>
      </c>
      <c r="B50" s="184" t="s">
        <v>340</v>
      </c>
      <c r="C50" s="193"/>
      <c r="D50" s="193"/>
      <c r="E50" s="193"/>
      <c r="F50" s="193"/>
      <c r="G50" s="193"/>
      <c r="H50" s="193"/>
      <c r="I50" s="193"/>
      <c r="J50" s="193"/>
      <c r="K50" s="193"/>
      <c r="L50" s="193"/>
      <c r="M50" s="381"/>
      <c r="N50" s="193"/>
      <c r="O50" s="193"/>
      <c r="P50" s="193">
        <v>0</v>
      </c>
      <c r="Q50" s="191">
        <f t="shared" si="4"/>
        <v>0</v>
      </c>
    </row>
    <row r="51" spans="1:17" ht="15.75" customHeight="1">
      <c r="A51" s="183"/>
      <c r="B51" s="186"/>
      <c r="C51" s="193"/>
      <c r="D51" s="193"/>
      <c r="E51" s="193"/>
      <c r="F51" s="193"/>
      <c r="G51" s="193"/>
      <c r="H51" s="193"/>
      <c r="I51" s="193"/>
      <c r="J51" s="193"/>
      <c r="K51" s="193"/>
      <c r="L51" s="193"/>
      <c r="M51" s="381"/>
      <c r="N51" s="193"/>
      <c r="O51" s="193"/>
      <c r="P51" s="193"/>
      <c r="Q51" s="191">
        <f t="shared" si="4"/>
        <v>0</v>
      </c>
    </row>
    <row r="52" spans="1:17" ht="15.75" customHeight="1">
      <c r="A52" s="185">
        <v>1</v>
      </c>
      <c r="B52" s="187" t="s">
        <v>448</v>
      </c>
      <c r="C52" s="193">
        <f>+C53+C60+C67+C76+C85+C91+C96+C101+C112+C118</f>
        <v>102861.75372660325</v>
      </c>
      <c r="D52" s="193">
        <f>+D53+D60+D67+D76+D85+D91+D96+D101+D112+D118</f>
        <v>31148253.088012479</v>
      </c>
      <c r="E52" s="193">
        <f t="shared" ref="E52:P52" si="29">+E53+E60+E67+E76+E85+E91+E96+E101+E112+E118</f>
        <v>0</v>
      </c>
      <c r="F52" s="193">
        <f t="shared" si="29"/>
        <v>100000</v>
      </c>
      <c r="G52" s="193">
        <f>+G53+G60+G67+G76+G85+G91+G96+G101+G112+G118</f>
        <v>3931960.8810709165</v>
      </c>
      <c r="H52" s="193">
        <f t="shared" si="29"/>
        <v>2647842.6761519085</v>
      </c>
      <c r="I52" s="193">
        <f t="shared" si="29"/>
        <v>536000</v>
      </c>
      <c r="J52" s="193">
        <f t="shared" ref="J52" si="30">+J53+J60+J67+J76+J85+J91+J96+J101+J112+J118</f>
        <v>423744.46015541087</v>
      </c>
      <c r="K52" s="193">
        <f t="shared" si="29"/>
        <v>1000000</v>
      </c>
      <c r="L52" s="193">
        <f t="shared" si="29"/>
        <v>953617.43618524598</v>
      </c>
      <c r="M52" s="193">
        <f t="shared" si="29"/>
        <v>336640.01029595872</v>
      </c>
      <c r="N52" s="193">
        <f t="shared" si="29"/>
        <v>27605935.672243364</v>
      </c>
      <c r="O52" s="193">
        <f t="shared" si="29"/>
        <v>1697736.6630806276</v>
      </c>
      <c r="P52" s="193">
        <f t="shared" si="29"/>
        <v>0</v>
      </c>
      <c r="Q52" s="191">
        <f t="shared" si="4"/>
        <v>70484592.640922517</v>
      </c>
    </row>
    <row r="53" spans="1:17" ht="15.75" customHeight="1">
      <c r="A53" s="181" t="s">
        <v>226</v>
      </c>
      <c r="B53" s="181" t="s">
        <v>973</v>
      </c>
      <c r="C53" s="193">
        <f>SUM(C54:C58)</f>
        <v>0</v>
      </c>
      <c r="D53" s="193">
        <f>SUM(D54:D58)</f>
        <v>2000000</v>
      </c>
      <c r="E53" s="193">
        <f t="shared" ref="E53:P53" si="31">SUM(E54:E58)</f>
        <v>0</v>
      </c>
      <c r="F53" s="193">
        <f t="shared" si="31"/>
        <v>0</v>
      </c>
      <c r="G53" s="193">
        <f>SUM(G54:G58)</f>
        <v>0</v>
      </c>
      <c r="H53" s="193">
        <f t="shared" si="31"/>
        <v>0</v>
      </c>
      <c r="I53" s="193">
        <f t="shared" si="31"/>
        <v>0</v>
      </c>
      <c r="J53" s="193">
        <f t="shared" ref="J53" si="32">SUM(J54:J58)</f>
        <v>0</v>
      </c>
      <c r="K53" s="193">
        <f t="shared" si="31"/>
        <v>0</v>
      </c>
      <c r="L53" s="193">
        <f t="shared" si="31"/>
        <v>0</v>
      </c>
      <c r="M53" s="193">
        <f t="shared" si="31"/>
        <v>0</v>
      </c>
      <c r="N53" s="193">
        <f t="shared" si="31"/>
        <v>0</v>
      </c>
      <c r="O53" s="193">
        <f t="shared" si="31"/>
        <v>0</v>
      </c>
      <c r="P53" s="193">
        <f t="shared" si="31"/>
        <v>0</v>
      </c>
      <c r="Q53" s="191">
        <f t="shared" si="4"/>
        <v>2000000</v>
      </c>
    </row>
    <row r="54" spans="1:17" ht="15.75" customHeight="1">
      <c r="A54" s="184" t="s">
        <v>449</v>
      </c>
      <c r="B54" s="184" t="s">
        <v>454</v>
      </c>
      <c r="C54" s="193"/>
      <c r="D54" s="193"/>
      <c r="E54" s="193"/>
      <c r="F54" s="193"/>
      <c r="G54" s="193"/>
      <c r="H54" s="193"/>
      <c r="I54" s="193"/>
      <c r="J54" s="193"/>
      <c r="K54" s="193"/>
      <c r="L54" s="193"/>
      <c r="M54" s="381"/>
      <c r="N54" s="813">
        <v>0</v>
      </c>
      <c r="O54" s="193"/>
      <c r="P54" s="193"/>
      <c r="Q54" s="191">
        <f t="shared" si="4"/>
        <v>0</v>
      </c>
    </row>
    <row r="55" spans="1:17" ht="15.75" customHeight="1">
      <c r="A55" s="184" t="s">
        <v>450</v>
      </c>
      <c r="B55" s="184" t="s">
        <v>455</v>
      </c>
      <c r="C55" s="193">
        <v>0</v>
      </c>
      <c r="D55" s="812">
        <v>2000000</v>
      </c>
      <c r="E55" s="193">
        <v>0</v>
      </c>
      <c r="F55" s="193"/>
      <c r="G55" s="193">
        <v>0</v>
      </c>
      <c r="H55" s="193"/>
      <c r="I55" s="193"/>
      <c r="J55" s="193"/>
      <c r="K55" s="193"/>
      <c r="L55" s="193">
        <v>0</v>
      </c>
      <c r="M55" s="381"/>
      <c r="N55" s="193">
        <v>0</v>
      </c>
      <c r="O55" s="193"/>
      <c r="P55" s="193"/>
      <c r="Q55" s="191">
        <f t="shared" si="4"/>
        <v>2000000</v>
      </c>
    </row>
    <row r="56" spans="1:17" ht="15.75" customHeight="1">
      <c r="A56" s="184" t="s">
        <v>451</v>
      </c>
      <c r="B56" s="184" t="s">
        <v>456</v>
      </c>
      <c r="C56" s="193"/>
      <c r="D56" s="193"/>
      <c r="E56" s="193"/>
      <c r="F56" s="193"/>
      <c r="G56" s="193"/>
      <c r="H56" s="193"/>
      <c r="I56" s="193"/>
      <c r="J56" s="193"/>
      <c r="K56" s="193"/>
      <c r="L56" s="193"/>
      <c r="M56" s="381"/>
      <c r="N56" s="193"/>
      <c r="O56" s="193"/>
      <c r="P56" s="193"/>
      <c r="Q56" s="191">
        <f t="shared" si="4"/>
        <v>0</v>
      </c>
    </row>
    <row r="57" spans="1:17" ht="15.75" customHeight="1">
      <c r="A57" s="184" t="s">
        <v>452</v>
      </c>
      <c r="B57" s="184" t="s">
        <v>457</v>
      </c>
      <c r="C57" s="193"/>
      <c r="D57" s="193"/>
      <c r="E57" s="193"/>
      <c r="F57" s="193"/>
      <c r="G57" s="193"/>
      <c r="H57" s="193"/>
      <c r="I57" s="193"/>
      <c r="J57" s="193"/>
      <c r="K57" s="193"/>
      <c r="L57" s="193"/>
      <c r="M57" s="381"/>
      <c r="N57" s="193"/>
      <c r="O57" s="193"/>
      <c r="P57" s="193">
        <v>0</v>
      </c>
      <c r="Q57" s="191">
        <f t="shared" si="4"/>
        <v>0</v>
      </c>
    </row>
    <row r="58" spans="1:17" ht="15.75" customHeight="1">
      <c r="A58" s="184" t="s">
        <v>453</v>
      </c>
      <c r="B58" s="184" t="s">
        <v>458</v>
      </c>
      <c r="C58" s="193"/>
      <c r="D58" s="193"/>
      <c r="E58" s="193"/>
      <c r="F58" s="193"/>
      <c r="G58" s="193"/>
      <c r="H58" s="193"/>
      <c r="I58" s="193"/>
      <c r="J58" s="193"/>
      <c r="K58" s="193"/>
      <c r="L58" s="193"/>
      <c r="M58" s="381"/>
      <c r="N58" s="873">
        <v>0</v>
      </c>
      <c r="O58" s="193"/>
      <c r="P58" s="193"/>
      <c r="Q58" s="191">
        <f t="shared" si="4"/>
        <v>0</v>
      </c>
    </row>
    <row r="59" spans="1:17" ht="15.75" customHeight="1">
      <c r="A59" s="183"/>
      <c r="B59" s="186"/>
      <c r="C59" s="193"/>
      <c r="D59" s="193"/>
      <c r="E59" s="193"/>
      <c r="F59" s="193"/>
      <c r="G59" s="193"/>
      <c r="H59" s="193"/>
      <c r="I59" s="193"/>
      <c r="J59" s="193"/>
      <c r="K59" s="193"/>
      <c r="L59" s="193"/>
      <c r="M59" s="381"/>
      <c r="N59" s="193"/>
      <c r="O59" s="193"/>
      <c r="P59" s="193"/>
      <c r="Q59" s="191">
        <f t="shared" si="4"/>
        <v>0</v>
      </c>
    </row>
    <row r="60" spans="1:17" ht="15.75" customHeight="1">
      <c r="A60" s="181" t="s">
        <v>227</v>
      </c>
      <c r="B60" s="181" t="s">
        <v>228</v>
      </c>
      <c r="C60" s="193">
        <f>SUM(C61:C65)</f>
        <v>0</v>
      </c>
      <c r="D60" s="193">
        <f>SUM(D61:D65)</f>
        <v>15924696.42</v>
      </c>
      <c r="E60" s="193">
        <f t="shared" ref="E60:P60" si="33">SUM(E61:E65)</f>
        <v>0</v>
      </c>
      <c r="F60" s="193">
        <f t="shared" si="33"/>
        <v>100000</v>
      </c>
      <c r="G60" s="193">
        <f>SUM(G61:G65)</f>
        <v>0</v>
      </c>
      <c r="H60" s="193">
        <f t="shared" si="33"/>
        <v>1600000</v>
      </c>
      <c r="I60" s="193">
        <f t="shared" si="33"/>
        <v>0</v>
      </c>
      <c r="J60" s="193">
        <f t="shared" ref="J60" si="34">SUM(J61:J65)</f>
        <v>0</v>
      </c>
      <c r="K60" s="193">
        <f t="shared" si="33"/>
        <v>0</v>
      </c>
      <c r="L60" s="193">
        <f t="shared" si="33"/>
        <v>200000</v>
      </c>
      <c r="M60" s="193">
        <f t="shared" si="33"/>
        <v>0</v>
      </c>
      <c r="N60" s="193">
        <f t="shared" si="33"/>
        <v>8500000</v>
      </c>
      <c r="O60" s="193">
        <f t="shared" si="33"/>
        <v>116800</v>
      </c>
      <c r="P60" s="193">
        <f t="shared" si="33"/>
        <v>0</v>
      </c>
      <c r="Q60" s="191">
        <f t="shared" si="4"/>
        <v>26441496.420000002</v>
      </c>
    </row>
    <row r="61" spans="1:17" ht="15.75" customHeight="1">
      <c r="A61" s="184" t="s">
        <v>459</v>
      </c>
      <c r="B61" s="184" t="s">
        <v>464</v>
      </c>
      <c r="C61" s="193"/>
      <c r="D61" s="193"/>
      <c r="E61" s="193"/>
      <c r="F61" s="193">
        <v>100000</v>
      </c>
      <c r="G61" s="193"/>
      <c r="H61" s="193">
        <v>800000</v>
      </c>
      <c r="I61" s="193"/>
      <c r="J61" s="193"/>
      <c r="K61" s="193"/>
      <c r="L61" s="193">
        <v>100000</v>
      </c>
      <c r="M61" s="381">
        <v>0</v>
      </c>
      <c r="N61" s="193">
        <v>1500000</v>
      </c>
      <c r="O61" s="193">
        <v>0</v>
      </c>
      <c r="P61" s="193"/>
      <c r="Q61" s="191">
        <f t="shared" si="4"/>
        <v>2500000</v>
      </c>
    </row>
    <row r="62" spans="1:17" ht="15.75" customHeight="1">
      <c r="A62" s="184" t="s">
        <v>460</v>
      </c>
      <c r="B62" s="184" t="s">
        <v>465</v>
      </c>
      <c r="C62" s="193"/>
      <c r="D62" s="193"/>
      <c r="E62" s="193"/>
      <c r="F62" s="193"/>
      <c r="G62" s="193"/>
      <c r="H62" s="193">
        <v>800000</v>
      </c>
      <c r="I62" s="193"/>
      <c r="J62" s="193"/>
      <c r="K62" s="193"/>
      <c r="L62" s="193">
        <v>50000</v>
      </c>
      <c r="M62" s="381">
        <v>0</v>
      </c>
      <c r="N62" s="193">
        <v>3500000</v>
      </c>
      <c r="O62" s="193">
        <v>116800</v>
      </c>
      <c r="P62" s="193"/>
      <c r="Q62" s="191">
        <f t="shared" si="4"/>
        <v>4466800</v>
      </c>
    </row>
    <row r="63" spans="1:17" ht="15.75" customHeight="1">
      <c r="A63" s="184" t="s">
        <v>461</v>
      </c>
      <c r="B63" s="184" t="s">
        <v>466</v>
      </c>
      <c r="C63" s="193"/>
      <c r="D63" s="193"/>
      <c r="E63" s="193"/>
      <c r="F63" s="193"/>
      <c r="G63" s="193"/>
      <c r="H63" s="193"/>
      <c r="I63" s="193"/>
      <c r="J63" s="193"/>
      <c r="K63" s="193"/>
      <c r="L63" s="193"/>
      <c r="M63" s="381"/>
      <c r="N63" s="193"/>
      <c r="O63" s="193"/>
      <c r="P63" s="193"/>
      <c r="Q63" s="191">
        <f t="shared" si="4"/>
        <v>0</v>
      </c>
    </row>
    <row r="64" spans="1:17" ht="15.75" customHeight="1">
      <c r="A64" s="184" t="s">
        <v>462</v>
      </c>
      <c r="B64" s="184" t="s">
        <v>467</v>
      </c>
      <c r="C64" s="193"/>
      <c r="D64" s="193"/>
      <c r="E64" s="193"/>
      <c r="F64" s="193"/>
      <c r="G64" s="193"/>
      <c r="H64" s="193"/>
      <c r="I64" s="193"/>
      <c r="J64" s="193"/>
      <c r="K64" s="193"/>
      <c r="L64" s="193">
        <v>50000</v>
      </c>
      <c r="M64" s="381">
        <v>0</v>
      </c>
      <c r="N64" s="193">
        <v>3500000</v>
      </c>
      <c r="O64" s="193">
        <v>0</v>
      </c>
      <c r="P64" s="193"/>
      <c r="Q64" s="191">
        <f t="shared" si="4"/>
        <v>3550000</v>
      </c>
    </row>
    <row r="65" spans="1:17" ht="15.75" customHeight="1">
      <c r="A65" s="184" t="s">
        <v>463</v>
      </c>
      <c r="B65" s="184" t="s">
        <v>468</v>
      </c>
      <c r="C65" s="193">
        <v>0</v>
      </c>
      <c r="D65" s="812">
        <f>16000000-75303.58</f>
        <v>15924696.42</v>
      </c>
      <c r="E65" s="193"/>
      <c r="F65" s="193"/>
      <c r="G65" s="193">
        <v>0</v>
      </c>
      <c r="H65" s="193"/>
      <c r="I65" s="193"/>
      <c r="J65" s="193"/>
      <c r="K65" s="193"/>
      <c r="L65" s="193"/>
      <c r="M65" s="381"/>
      <c r="N65" s="193"/>
      <c r="O65" s="193"/>
      <c r="P65" s="193"/>
      <c r="Q65" s="191">
        <f t="shared" si="4"/>
        <v>15924696.42</v>
      </c>
    </row>
    <row r="66" spans="1:17" ht="15.75" customHeight="1">
      <c r="A66" s="183"/>
      <c r="B66" s="186"/>
      <c r="C66" s="193"/>
      <c r="D66" s="812"/>
      <c r="E66" s="193"/>
      <c r="F66" s="193"/>
      <c r="G66" s="193"/>
      <c r="H66" s="193"/>
      <c r="I66" s="193"/>
      <c r="J66" s="193"/>
      <c r="K66" s="193"/>
      <c r="L66" s="193"/>
      <c r="M66" s="381"/>
      <c r="N66" s="193"/>
      <c r="O66" s="193"/>
      <c r="P66" s="193"/>
      <c r="Q66" s="191">
        <f t="shared" si="4"/>
        <v>0</v>
      </c>
    </row>
    <row r="67" spans="1:17" ht="15.75" customHeight="1">
      <c r="A67" s="181" t="s">
        <v>229</v>
      </c>
      <c r="B67" s="181" t="s">
        <v>230</v>
      </c>
      <c r="C67" s="193">
        <f>SUM(C68:C74)</f>
        <v>0</v>
      </c>
      <c r="D67" s="812">
        <f>SUM(D68:D74)</f>
        <v>1060000</v>
      </c>
      <c r="E67" s="193">
        <f t="shared" ref="E67:P67" si="35">SUM(E68:E74)</f>
        <v>0</v>
      </c>
      <c r="F67" s="193">
        <f t="shared" si="35"/>
        <v>0</v>
      </c>
      <c r="G67" s="193">
        <f>SUM(G68:G74)</f>
        <v>0</v>
      </c>
      <c r="H67" s="193">
        <f t="shared" si="35"/>
        <v>0</v>
      </c>
      <c r="I67" s="193">
        <f t="shared" si="35"/>
        <v>0</v>
      </c>
      <c r="J67" s="193">
        <f t="shared" ref="J67" si="36">SUM(J68:J74)</f>
        <v>0</v>
      </c>
      <c r="K67" s="193">
        <f t="shared" si="35"/>
        <v>0</v>
      </c>
      <c r="L67" s="193">
        <f t="shared" si="35"/>
        <v>700000</v>
      </c>
      <c r="M67" s="193">
        <f t="shared" si="35"/>
        <v>0</v>
      </c>
      <c r="N67" s="193">
        <f t="shared" si="35"/>
        <v>6711721.2300000004</v>
      </c>
      <c r="O67" s="193">
        <f t="shared" si="35"/>
        <v>1439601.6099999999</v>
      </c>
      <c r="P67" s="193">
        <f t="shared" si="35"/>
        <v>0</v>
      </c>
      <c r="Q67" s="191">
        <f t="shared" si="4"/>
        <v>9911322.8399999999</v>
      </c>
    </row>
    <row r="68" spans="1:17" ht="15.75" customHeight="1">
      <c r="A68" s="184" t="s">
        <v>469</v>
      </c>
      <c r="B68" s="184" t="s">
        <v>475</v>
      </c>
      <c r="C68" s="193">
        <v>0</v>
      </c>
      <c r="D68" s="812">
        <v>730000</v>
      </c>
      <c r="E68" s="193"/>
      <c r="F68" s="193"/>
      <c r="G68" s="193">
        <v>0</v>
      </c>
      <c r="H68" s="193"/>
      <c r="I68" s="193"/>
      <c r="J68" s="193"/>
      <c r="K68" s="193"/>
      <c r="L68" s="193"/>
      <c r="M68" s="381">
        <v>0</v>
      </c>
      <c r="N68" s="193">
        <v>1350000</v>
      </c>
      <c r="O68" s="193">
        <f>1000000-60398.39</f>
        <v>939601.61</v>
      </c>
      <c r="P68" s="193"/>
      <c r="Q68" s="191">
        <f t="shared" si="4"/>
        <v>3019601.61</v>
      </c>
    </row>
    <row r="69" spans="1:17" ht="15.75" customHeight="1">
      <c r="A69" s="184" t="s">
        <v>470</v>
      </c>
      <c r="B69" s="184" t="s">
        <v>476</v>
      </c>
      <c r="C69" s="193">
        <v>0</v>
      </c>
      <c r="D69" s="812">
        <v>330000</v>
      </c>
      <c r="E69" s="193"/>
      <c r="F69" s="193"/>
      <c r="G69" s="193">
        <v>0</v>
      </c>
      <c r="H69" s="193"/>
      <c r="I69" s="193"/>
      <c r="J69" s="193"/>
      <c r="K69" s="193"/>
      <c r="L69" s="193"/>
      <c r="M69" s="381">
        <v>0</v>
      </c>
      <c r="N69" s="193">
        <v>1350000</v>
      </c>
      <c r="O69" s="193">
        <v>500000</v>
      </c>
      <c r="P69" s="193"/>
      <c r="Q69" s="191">
        <f t="shared" si="4"/>
        <v>2180000</v>
      </c>
    </row>
    <row r="70" spans="1:17" ht="15.75" customHeight="1">
      <c r="A70" s="184" t="s">
        <v>471</v>
      </c>
      <c r="B70" s="184" t="s">
        <v>477</v>
      </c>
      <c r="C70" s="193"/>
      <c r="D70" s="193"/>
      <c r="E70" s="193"/>
      <c r="F70" s="193"/>
      <c r="G70" s="193"/>
      <c r="H70" s="193"/>
      <c r="I70" s="193">
        <v>0</v>
      </c>
      <c r="J70" s="193"/>
      <c r="K70" s="193"/>
      <c r="L70" s="193">
        <v>700000</v>
      </c>
      <c r="M70" s="381"/>
      <c r="N70" s="193">
        <f>900000-28252.77</f>
        <v>871747.23</v>
      </c>
      <c r="O70" s="193">
        <v>0</v>
      </c>
      <c r="P70" s="193"/>
      <c r="Q70" s="191">
        <f t="shared" si="4"/>
        <v>1571747.23</v>
      </c>
    </row>
    <row r="71" spans="1:17" ht="15.75" customHeight="1">
      <c r="A71" s="184" t="s">
        <v>472</v>
      </c>
      <c r="B71" s="184" t="s">
        <v>478</v>
      </c>
      <c r="C71" s="193">
        <v>0</v>
      </c>
      <c r="D71" s="193">
        <v>0</v>
      </c>
      <c r="E71" s="193"/>
      <c r="F71" s="193"/>
      <c r="G71" s="193">
        <v>0</v>
      </c>
      <c r="H71" s="193"/>
      <c r="I71" s="193">
        <v>0</v>
      </c>
      <c r="J71" s="193"/>
      <c r="K71" s="193"/>
      <c r="L71" s="193">
        <v>0</v>
      </c>
      <c r="M71" s="381"/>
      <c r="N71" s="193"/>
      <c r="O71" s="193"/>
      <c r="P71" s="193">
        <v>0</v>
      </c>
      <c r="Q71" s="191">
        <f t="shared" si="4"/>
        <v>0</v>
      </c>
    </row>
    <row r="72" spans="1:17" ht="15.75" customHeight="1">
      <c r="A72" s="184" t="s">
        <v>473</v>
      </c>
      <c r="B72" s="184" t="s">
        <v>479</v>
      </c>
      <c r="C72" s="193"/>
      <c r="D72" s="193"/>
      <c r="E72" s="193"/>
      <c r="F72" s="193"/>
      <c r="G72" s="193"/>
      <c r="H72" s="193"/>
      <c r="I72" s="193"/>
      <c r="J72" s="193"/>
      <c r="K72" s="193"/>
      <c r="L72" s="193"/>
      <c r="M72" s="381"/>
      <c r="N72" s="193"/>
      <c r="O72" s="193"/>
      <c r="P72" s="193"/>
      <c r="Q72" s="191">
        <f t="shared" si="4"/>
        <v>0</v>
      </c>
    </row>
    <row r="73" spans="1:17" ht="15.75" customHeight="1">
      <c r="A73" s="184" t="s">
        <v>474</v>
      </c>
      <c r="B73" s="184" t="s">
        <v>482</v>
      </c>
      <c r="C73" s="193"/>
      <c r="D73" s="193"/>
      <c r="E73" s="193"/>
      <c r="F73" s="193"/>
      <c r="G73" s="193"/>
      <c r="H73" s="193"/>
      <c r="I73" s="193"/>
      <c r="J73" s="193"/>
      <c r="K73" s="193"/>
      <c r="L73" s="193"/>
      <c r="M73" s="381"/>
      <c r="N73" s="193"/>
      <c r="O73" s="193"/>
      <c r="P73" s="193"/>
      <c r="Q73" s="191">
        <f t="shared" si="4"/>
        <v>0</v>
      </c>
    </row>
    <row r="74" spans="1:17" ht="15.75" customHeight="1">
      <c r="A74" s="184" t="s">
        <v>484</v>
      </c>
      <c r="B74" s="184" t="s">
        <v>483</v>
      </c>
      <c r="C74" s="191">
        <v>0</v>
      </c>
      <c r="D74" s="191">
        <v>0</v>
      </c>
      <c r="E74" s="191">
        <v>0</v>
      </c>
      <c r="F74" s="193"/>
      <c r="G74" s="191">
        <v>0</v>
      </c>
      <c r="H74" s="193"/>
      <c r="I74" s="193"/>
      <c r="J74" s="193"/>
      <c r="K74" s="193"/>
      <c r="L74" s="193">
        <v>0</v>
      </c>
      <c r="M74" s="381">
        <v>0</v>
      </c>
      <c r="N74" s="193">
        <f>(429.91*570)*12+200000-610.4</f>
        <v>3139974.0000000005</v>
      </c>
      <c r="O74" s="193">
        <v>0</v>
      </c>
      <c r="P74" s="193"/>
      <c r="Q74" s="191">
        <f t="shared" ref="Q74:Q137" si="37">SUM(C74:P74)</f>
        <v>3139974.0000000005</v>
      </c>
    </row>
    <row r="75" spans="1:17" ht="15.75" customHeight="1">
      <c r="A75" s="184"/>
      <c r="B75" s="184"/>
      <c r="C75" s="193"/>
      <c r="D75" s="193"/>
      <c r="E75" s="193"/>
      <c r="F75" s="193"/>
      <c r="G75" s="193"/>
      <c r="H75" s="193"/>
      <c r="I75" s="193"/>
      <c r="J75" s="193"/>
      <c r="K75" s="193"/>
      <c r="L75" s="193"/>
      <c r="M75" s="381"/>
      <c r="N75" s="193"/>
      <c r="O75" s="193"/>
      <c r="P75" s="193"/>
      <c r="Q75" s="191">
        <f t="shared" si="37"/>
        <v>0</v>
      </c>
    </row>
    <row r="76" spans="1:17" ht="15.75" customHeight="1">
      <c r="A76" s="181" t="s">
        <v>231</v>
      </c>
      <c r="B76" s="181" t="s">
        <v>232</v>
      </c>
      <c r="C76" s="193">
        <f>SUM(C77:C83)</f>
        <v>0</v>
      </c>
      <c r="D76" s="193">
        <f>SUM(D77:D83)</f>
        <v>0</v>
      </c>
      <c r="E76" s="193">
        <f t="shared" ref="E76:P76" si="38">SUM(E77:E83)</f>
        <v>0</v>
      </c>
      <c r="F76" s="193">
        <f t="shared" si="38"/>
        <v>0</v>
      </c>
      <c r="G76" s="193">
        <f>SUM(G77:G83)</f>
        <v>0</v>
      </c>
      <c r="H76" s="193">
        <f t="shared" si="38"/>
        <v>0</v>
      </c>
      <c r="I76" s="193">
        <f t="shared" si="38"/>
        <v>0</v>
      </c>
      <c r="J76" s="193">
        <f t="shared" ref="J76" si="39">SUM(J77:J83)</f>
        <v>0</v>
      </c>
      <c r="K76" s="193">
        <f t="shared" si="38"/>
        <v>0</v>
      </c>
      <c r="L76" s="193">
        <f t="shared" si="38"/>
        <v>0</v>
      </c>
      <c r="M76" s="193">
        <f t="shared" si="38"/>
        <v>0</v>
      </c>
      <c r="N76" s="193">
        <f t="shared" si="38"/>
        <v>3096400.51</v>
      </c>
      <c r="O76" s="193">
        <f t="shared" si="38"/>
        <v>0</v>
      </c>
      <c r="P76" s="193">
        <f t="shared" si="38"/>
        <v>0</v>
      </c>
      <c r="Q76" s="191">
        <f t="shared" si="37"/>
        <v>3096400.51</v>
      </c>
    </row>
    <row r="77" spans="1:17" ht="15.75" customHeight="1">
      <c r="A77" s="184" t="s">
        <v>485</v>
      </c>
      <c r="B77" s="184" t="s">
        <v>492</v>
      </c>
      <c r="C77" s="193"/>
      <c r="D77" s="193"/>
      <c r="E77" s="193"/>
      <c r="F77" s="193"/>
      <c r="G77" s="193"/>
      <c r="H77" s="193"/>
      <c r="I77" s="193"/>
      <c r="J77" s="193"/>
      <c r="K77" s="193"/>
      <c r="L77" s="193"/>
      <c r="M77" s="381"/>
      <c r="N77" s="193"/>
      <c r="O77" s="193"/>
      <c r="P77" s="193"/>
      <c r="Q77" s="191">
        <f t="shared" si="37"/>
        <v>0</v>
      </c>
    </row>
    <row r="78" spans="1:17" ht="15.75" customHeight="1">
      <c r="A78" s="184" t="s">
        <v>486</v>
      </c>
      <c r="B78" s="184" t="s">
        <v>493</v>
      </c>
      <c r="C78" s="193"/>
      <c r="D78" s="193"/>
      <c r="E78" s="193"/>
      <c r="F78" s="193"/>
      <c r="G78" s="193"/>
      <c r="H78" s="193"/>
      <c r="I78" s="193"/>
      <c r="J78" s="193"/>
      <c r="K78" s="193"/>
      <c r="L78" s="193"/>
      <c r="M78" s="381"/>
      <c r="N78" s="193">
        <f>2000000+796400.51</f>
        <v>2796400.51</v>
      </c>
      <c r="O78" s="193"/>
      <c r="P78" s="193"/>
      <c r="Q78" s="191">
        <f t="shared" si="37"/>
        <v>2796400.51</v>
      </c>
    </row>
    <row r="79" spans="1:17" ht="15.75" customHeight="1">
      <c r="A79" s="184" t="s">
        <v>487</v>
      </c>
      <c r="B79" s="184" t="s">
        <v>494</v>
      </c>
      <c r="C79" s="193"/>
      <c r="D79" s="812">
        <v>0</v>
      </c>
      <c r="E79" s="193"/>
      <c r="F79" s="193"/>
      <c r="G79" s="193"/>
      <c r="H79" s="193"/>
      <c r="I79" s="193"/>
      <c r="J79" s="193"/>
      <c r="K79" s="193"/>
      <c r="L79" s="193">
        <v>0</v>
      </c>
      <c r="M79" s="381"/>
      <c r="N79" s="193">
        <v>0</v>
      </c>
      <c r="O79" s="193"/>
      <c r="P79" s="193">
        <v>0</v>
      </c>
      <c r="Q79" s="191">
        <f t="shared" si="37"/>
        <v>0</v>
      </c>
    </row>
    <row r="80" spans="1:17" ht="15.75" customHeight="1">
      <c r="A80" s="184" t="s">
        <v>488</v>
      </c>
      <c r="B80" s="184" t="s">
        <v>495</v>
      </c>
      <c r="C80" s="193">
        <v>0</v>
      </c>
      <c r="D80" s="193">
        <v>0</v>
      </c>
      <c r="E80" s="193">
        <v>0</v>
      </c>
      <c r="F80" s="193">
        <v>0</v>
      </c>
      <c r="G80" s="193">
        <v>0</v>
      </c>
      <c r="H80" s="193">
        <v>0</v>
      </c>
      <c r="I80" s="193">
        <v>0</v>
      </c>
      <c r="J80" s="193">
        <v>0</v>
      </c>
      <c r="K80" s="193">
        <v>0</v>
      </c>
      <c r="L80" s="193">
        <v>0</v>
      </c>
      <c r="M80" s="381">
        <v>0</v>
      </c>
      <c r="N80" s="193">
        <v>0</v>
      </c>
      <c r="O80" s="193">
        <v>0</v>
      </c>
      <c r="P80" s="193"/>
      <c r="Q80" s="191">
        <f t="shared" si="37"/>
        <v>0</v>
      </c>
    </row>
    <row r="81" spans="1:17" ht="15.75" customHeight="1">
      <c r="A81" s="184" t="s">
        <v>489</v>
      </c>
      <c r="B81" s="184" t="s">
        <v>496</v>
      </c>
      <c r="C81" s="193"/>
      <c r="D81" s="193"/>
      <c r="E81" s="193"/>
      <c r="F81" s="193"/>
      <c r="G81" s="193"/>
      <c r="H81" s="193"/>
      <c r="I81" s="193"/>
      <c r="J81" s="193"/>
      <c r="K81" s="193"/>
      <c r="L81" s="193"/>
      <c r="M81" s="381"/>
      <c r="N81" s="193">
        <v>0</v>
      </c>
      <c r="O81" s="193"/>
      <c r="P81" s="193"/>
      <c r="Q81" s="191">
        <f t="shared" si="37"/>
        <v>0</v>
      </c>
    </row>
    <row r="82" spans="1:17" ht="15.75" customHeight="1">
      <c r="A82" s="184" t="s">
        <v>490</v>
      </c>
      <c r="B82" s="184" t="s">
        <v>497</v>
      </c>
      <c r="C82" s="193"/>
      <c r="D82" s="193"/>
      <c r="E82" s="193"/>
      <c r="F82" s="193"/>
      <c r="G82" s="193"/>
      <c r="H82" s="193"/>
      <c r="I82" s="193"/>
      <c r="J82" s="193"/>
      <c r="K82" s="193"/>
      <c r="L82" s="193"/>
      <c r="M82" s="381"/>
      <c r="N82" s="193">
        <v>300000</v>
      </c>
      <c r="O82" s="193"/>
      <c r="P82" s="193"/>
      <c r="Q82" s="191">
        <f t="shared" si="37"/>
        <v>300000</v>
      </c>
    </row>
    <row r="83" spans="1:17" ht="15.75" customHeight="1">
      <c r="A83" s="184" t="s">
        <v>491</v>
      </c>
      <c r="B83" s="184" t="s">
        <v>498</v>
      </c>
      <c r="C83" s="193"/>
      <c r="D83" s="193"/>
      <c r="E83" s="193"/>
      <c r="F83" s="193"/>
      <c r="G83" s="193"/>
      <c r="H83" s="193"/>
      <c r="I83" s="193"/>
      <c r="J83" s="193"/>
      <c r="K83" s="193"/>
      <c r="L83" s="193"/>
      <c r="M83" s="381"/>
      <c r="N83" s="193"/>
      <c r="O83" s="193"/>
      <c r="P83" s="193"/>
      <c r="Q83" s="191">
        <f t="shared" si="37"/>
        <v>0</v>
      </c>
    </row>
    <row r="84" spans="1:17" ht="15.75" customHeight="1">
      <c r="A84" s="183"/>
      <c r="B84" s="186"/>
      <c r="C84" s="193"/>
      <c r="D84" s="193"/>
      <c r="E84" s="193"/>
      <c r="F84" s="193"/>
      <c r="G84" s="193"/>
      <c r="H84" s="193"/>
      <c r="I84" s="193"/>
      <c r="J84" s="193"/>
      <c r="K84" s="193"/>
      <c r="L84" s="193"/>
      <c r="M84" s="381"/>
      <c r="N84" s="193"/>
      <c r="O84" s="193"/>
      <c r="P84" s="193"/>
      <c r="Q84" s="191">
        <f t="shared" si="37"/>
        <v>0</v>
      </c>
    </row>
    <row r="85" spans="1:17" ht="15.75" customHeight="1">
      <c r="A85" s="181" t="s">
        <v>233</v>
      </c>
      <c r="B85" s="181" t="s">
        <v>234</v>
      </c>
      <c r="C85" s="193">
        <f>SUM(C86:C89)</f>
        <v>0</v>
      </c>
      <c r="D85" s="193">
        <f>SUM(D86:D89)</f>
        <v>3971885.69</v>
      </c>
      <c r="E85" s="193">
        <f t="shared" ref="E85:P85" si="40">SUM(E86:E89)</f>
        <v>0</v>
      </c>
      <c r="F85" s="193">
        <f t="shared" si="40"/>
        <v>0</v>
      </c>
      <c r="G85" s="193">
        <f>SUM(G86:G89)</f>
        <v>1679006.71</v>
      </c>
      <c r="H85" s="193">
        <f t="shared" si="40"/>
        <v>0</v>
      </c>
      <c r="I85" s="193">
        <f t="shared" si="40"/>
        <v>536000</v>
      </c>
      <c r="J85" s="193">
        <f t="shared" ref="J85" si="41">SUM(J86:J89)</f>
        <v>0</v>
      </c>
      <c r="K85" s="193">
        <f t="shared" si="40"/>
        <v>0</v>
      </c>
      <c r="L85" s="193">
        <f t="shared" si="40"/>
        <v>0</v>
      </c>
      <c r="M85" s="193">
        <f t="shared" si="40"/>
        <v>200000</v>
      </c>
      <c r="N85" s="193">
        <f t="shared" si="40"/>
        <v>1500000</v>
      </c>
      <c r="O85" s="193">
        <f t="shared" si="40"/>
        <v>70000</v>
      </c>
      <c r="P85" s="193">
        <f t="shared" si="40"/>
        <v>0</v>
      </c>
      <c r="Q85" s="191">
        <f t="shared" si="37"/>
        <v>7956892.4000000004</v>
      </c>
    </row>
    <row r="86" spans="1:17" ht="15.75" customHeight="1">
      <c r="A86" s="184" t="s">
        <v>499</v>
      </c>
      <c r="B86" s="184" t="s">
        <v>503</v>
      </c>
      <c r="C86" s="193">
        <v>0</v>
      </c>
      <c r="D86" s="193">
        <v>0</v>
      </c>
      <c r="E86" s="193"/>
      <c r="F86" s="193"/>
      <c r="G86" s="193">
        <v>0</v>
      </c>
      <c r="H86" s="193"/>
      <c r="I86" s="193">
        <f>500000+36000</f>
        <v>536000</v>
      </c>
      <c r="J86" s="193"/>
      <c r="K86" s="193"/>
      <c r="L86" s="193"/>
      <c r="M86" s="381"/>
      <c r="N86" s="193"/>
      <c r="O86" s="193"/>
      <c r="P86" s="193"/>
      <c r="Q86" s="191">
        <f t="shared" si="37"/>
        <v>536000</v>
      </c>
    </row>
    <row r="87" spans="1:17" ht="15.75" customHeight="1">
      <c r="A87" s="184" t="s">
        <v>500</v>
      </c>
      <c r="B87" s="184" t="s">
        <v>504</v>
      </c>
      <c r="C87" s="193">
        <v>0</v>
      </c>
      <c r="D87" s="812">
        <v>3971885.69</v>
      </c>
      <c r="E87" s="193">
        <v>0</v>
      </c>
      <c r="F87" s="193"/>
      <c r="G87" s="812">
        <v>1679006.71</v>
      </c>
      <c r="H87" s="193"/>
      <c r="I87" s="193"/>
      <c r="J87" s="193"/>
      <c r="K87" s="193"/>
      <c r="L87" s="193"/>
      <c r="M87" s="381">
        <v>200000</v>
      </c>
      <c r="N87" s="193">
        <v>1500000</v>
      </c>
      <c r="O87" s="193">
        <v>70000</v>
      </c>
      <c r="P87" s="193"/>
      <c r="Q87" s="191">
        <f t="shared" si="37"/>
        <v>7420892.4000000004</v>
      </c>
    </row>
    <row r="88" spans="1:17" ht="15.75" customHeight="1">
      <c r="A88" s="184" t="s">
        <v>501</v>
      </c>
      <c r="B88" s="184" t="s">
        <v>505</v>
      </c>
      <c r="C88" s="193">
        <v>0</v>
      </c>
      <c r="D88" s="193">
        <v>0</v>
      </c>
      <c r="E88" s="193"/>
      <c r="F88" s="193"/>
      <c r="G88" s="193">
        <v>0</v>
      </c>
      <c r="H88" s="193"/>
      <c r="I88" s="193"/>
      <c r="J88" s="193"/>
      <c r="K88" s="193"/>
      <c r="L88" s="193"/>
      <c r="M88" s="381"/>
      <c r="N88" s="193"/>
      <c r="O88" s="193"/>
      <c r="P88" s="193"/>
      <c r="Q88" s="191">
        <f t="shared" si="37"/>
        <v>0</v>
      </c>
    </row>
    <row r="89" spans="1:17" ht="15.75" customHeight="1">
      <c r="A89" s="184" t="s">
        <v>502</v>
      </c>
      <c r="B89" s="184" t="s">
        <v>506</v>
      </c>
      <c r="C89" s="193"/>
      <c r="D89" s="193"/>
      <c r="E89" s="193"/>
      <c r="F89" s="193"/>
      <c r="G89" s="193"/>
      <c r="H89" s="193"/>
      <c r="I89" s="193"/>
      <c r="J89" s="193"/>
      <c r="K89" s="193"/>
      <c r="L89" s="193"/>
      <c r="M89" s="381"/>
      <c r="N89" s="193"/>
      <c r="O89" s="193"/>
      <c r="P89" s="193"/>
      <c r="Q89" s="191">
        <f t="shared" si="37"/>
        <v>0</v>
      </c>
    </row>
    <row r="90" spans="1:17" ht="15.75" customHeight="1">
      <c r="A90" s="183"/>
      <c r="B90" s="186"/>
      <c r="C90" s="193"/>
      <c r="D90" s="193"/>
      <c r="E90" s="193"/>
      <c r="F90" s="193"/>
      <c r="G90" s="193"/>
      <c r="H90" s="193"/>
      <c r="I90" s="193"/>
      <c r="J90" s="193"/>
      <c r="K90" s="193"/>
      <c r="L90" s="193"/>
      <c r="M90" s="381"/>
      <c r="N90" s="193"/>
      <c r="O90" s="193"/>
      <c r="P90" s="193"/>
      <c r="Q90" s="191">
        <f t="shared" si="37"/>
        <v>0</v>
      </c>
    </row>
    <row r="91" spans="1:17" ht="15.75" customHeight="1">
      <c r="A91" s="181" t="s">
        <v>235</v>
      </c>
      <c r="B91" s="181" t="s">
        <v>236</v>
      </c>
      <c r="C91" s="193">
        <f>SUM(C92:C94)</f>
        <v>102861.75372660325</v>
      </c>
      <c r="D91" s="193">
        <f>SUM(D92:D94)</f>
        <v>3591670.9780124747</v>
      </c>
      <c r="E91" s="193">
        <f t="shared" ref="E91:P91" si="42">SUM(E92:E94)</f>
        <v>0</v>
      </c>
      <c r="F91" s="193">
        <f t="shared" si="42"/>
        <v>0</v>
      </c>
      <c r="G91" s="193">
        <f>SUM(G92:G94)</f>
        <v>197701.0310709163</v>
      </c>
      <c r="H91" s="193">
        <f t="shared" si="42"/>
        <v>47842.67615190849</v>
      </c>
      <c r="I91" s="193">
        <f t="shared" si="42"/>
        <v>0</v>
      </c>
      <c r="J91" s="193">
        <f t="shared" ref="J91" si="43">SUM(J92:J94)</f>
        <v>423744.46015541087</v>
      </c>
      <c r="K91" s="193">
        <f t="shared" si="42"/>
        <v>0</v>
      </c>
      <c r="L91" s="193">
        <f t="shared" si="42"/>
        <v>53617.436185246021</v>
      </c>
      <c r="M91" s="193">
        <f t="shared" si="42"/>
        <v>136640.01029595872</v>
      </c>
      <c r="N91" s="193">
        <f t="shared" si="42"/>
        <v>3729302.392243363</v>
      </c>
      <c r="O91" s="193">
        <f t="shared" si="42"/>
        <v>71335.053080627578</v>
      </c>
      <c r="P91" s="193">
        <f t="shared" si="42"/>
        <v>0</v>
      </c>
      <c r="Q91" s="191">
        <f t="shared" si="37"/>
        <v>8354715.7909225095</v>
      </c>
    </row>
    <row r="92" spans="1:17" ht="15.75" customHeight="1">
      <c r="A92" s="184" t="s">
        <v>507</v>
      </c>
      <c r="B92" s="184" t="s">
        <v>512</v>
      </c>
      <c r="C92" s="193">
        <f>+((C13+C14+C15+C16+C17+C20+C27+C28+C30)*1.1%)</f>
        <v>102861.75372660325</v>
      </c>
      <c r="D92" s="193">
        <f>+((D13+D14+D15+D16+D17+D20+D27+D28+D30)*1.1%)+3000000</f>
        <v>3591670.9780124747</v>
      </c>
      <c r="E92" s="193">
        <f t="shared" ref="E92:P92" si="44">+(E13+E14+E15+E16+E17+E20+E27+E28+E30)*1.1%</f>
        <v>0</v>
      </c>
      <c r="F92" s="193">
        <f t="shared" si="44"/>
        <v>0</v>
      </c>
      <c r="G92" s="193">
        <f t="shared" si="44"/>
        <v>197701.0310709163</v>
      </c>
      <c r="H92" s="193">
        <f t="shared" si="44"/>
        <v>47842.67615190849</v>
      </c>
      <c r="I92" s="193">
        <f t="shared" si="44"/>
        <v>0</v>
      </c>
      <c r="J92" s="193">
        <f t="shared" si="44"/>
        <v>423744.46015541087</v>
      </c>
      <c r="K92" s="193">
        <f t="shared" si="44"/>
        <v>0</v>
      </c>
      <c r="L92" s="193">
        <f t="shared" si="44"/>
        <v>53617.436185246021</v>
      </c>
      <c r="M92" s="193">
        <f>+((M13+M14+M15+M16+M17+M20+M27+M28+M30)*1.1%)</f>
        <v>136640.01029595872</v>
      </c>
      <c r="N92" s="193">
        <f>+(N13+N14+N15+N16+N17+N20+N27+N28+N30)*1.1%+2750000</f>
        <v>3729302.392243363</v>
      </c>
      <c r="O92" s="193">
        <f t="shared" si="44"/>
        <v>71335.053080627578</v>
      </c>
      <c r="P92" s="193">
        <f t="shared" si="44"/>
        <v>0</v>
      </c>
      <c r="Q92" s="191">
        <f t="shared" si="37"/>
        <v>8354715.7909225095</v>
      </c>
    </row>
    <row r="93" spans="1:17" ht="15.75" customHeight="1">
      <c r="A93" s="184" t="s">
        <v>508</v>
      </c>
      <c r="B93" s="184" t="s">
        <v>513</v>
      </c>
      <c r="C93" s="193"/>
      <c r="D93" s="193"/>
      <c r="E93" s="193"/>
      <c r="F93" s="193"/>
      <c r="G93" s="193"/>
      <c r="H93" s="193"/>
      <c r="I93" s="193"/>
      <c r="J93" s="193"/>
      <c r="K93" s="193"/>
      <c r="L93" s="193"/>
      <c r="M93" s="381"/>
      <c r="N93" s="193"/>
      <c r="O93" s="193"/>
      <c r="P93" s="193"/>
      <c r="Q93" s="191">
        <f t="shared" si="37"/>
        <v>0</v>
      </c>
    </row>
    <row r="94" spans="1:17" ht="15.75" customHeight="1">
      <c r="A94" s="184" t="s">
        <v>511</v>
      </c>
      <c r="B94" s="184" t="s">
        <v>514</v>
      </c>
      <c r="C94" s="193"/>
      <c r="D94" s="193"/>
      <c r="E94" s="193"/>
      <c r="F94" s="193"/>
      <c r="G94" s="193"/>
      <c r="H94" s="193"/>
      <c r="I94" s="193"/>
      <c r="J94" s="193"/>
      <c r="K94" s="193"/>
      <c r="L94" s="193"/>
      <c r="M94" s="381"/>
      <c r="N94" s="193"/>
      <c r="O94" s="193"/>
      <c r="P94" s="193"/>
      <c r="Q94" s="191">
        <f t="shared" si="37"/>
        <v>0</v>
      </c>
    </row>
    <row r="95" spans="1:17" ht="15.75" customHeight="1">
      <c r="A95" s="183"/>
      <c r="B95" s="186"/>
      <c r="C95" s="193"/>
      <c r="D95" s="193"/>
      <c r="E95" s="193"/>
      <c r="F95" s="193"/>
      <c r="G95" s="193"/>
      <c r="H95" s="193"/>
      <c r="I95" s="193"/>
      <c r="J95" s="193"/>
      <c r="K95" s="193"/>
      <c r="L95" s="193"/>
      <c r="M95" s="381"/>
      <c r="N95" s="193"/>
      <c r="O95" s="193"/>
      <c r="P95" s="193"/>
      <c r="Q95" s="191">
        <f t="shared" si="37"/>
        <v>0</v>
      </c>
    </row>
    <row r="96" spans="1:17" ht="15.75" customHeight="1">
      <c r="A96" s="181" t="s">
        <v>238</v>
      </c>
      <c r="B96" s="181" t="s">
        <v>239</v>
      </c>
      <c r="C96" s="193">
        <f>SUM(C97:C99)</f>
        <v>0</v>
      </c>
      <c r="D96" s="193">
        <f>SUM(D97:D99)</f>
        <v>350000</v>
      </c>
      <c r="E96" s="193">
        <f t="shared" ref="E96:P96" si="45">SUM(E97:E99)</f>
        <v>0</v>
      </c>
      <c r="F96" s="193">
        <f t="shared" si="45"/>
        <v>0</v>
      </c>
      <c r="G96" s="193">
        <f>SUM(G97:G99)</f>
        <v>0</v>
      </c>
      <c r="H96" s="193">
        <f t="shared" si="45"/>
        <v>0</v>
      </c>
      <c r="I96" s="193">
        <f t="shared" si="45"/>
        <v>0</v>
      </c>
      <c r="J96" s="193">
        <f t="shared" ref="J96" si="46">SUM(J97:J99)</f>
        <v>0</v>
      </c>
      <c r="K96" s="193">
        <f t="shared" si="45"/>
        <v>0</v>
      </c>
      <c r="L96" s="193">
        <f t="shared" si="45"/>
        <v>0</v>
      </c>
      <c r="M96" s="193">
        <f t="shared" si="45"/>
        <v>0</v>
      </c>
      <c r="N96" s="193">
        <f t="shared" si="45"/>
        <v>318511.53999999998</v>
      </c>
      <c r="O96" s="193">
        <f t="shared" si="45"/>
        <v>0</v>
      </c>
      <c r="P96" s="193">
        <f t="shared" si="45"/>
        <v>0</v>
      </c>
      <c r="Q96" s="191">
        <f t="shared" si="37"/>
        <v>668511.54</v>
      </c>
    </row>
    <row r="97" spans="1:17" ht="15.75" customHeight="1">
      <c r="A97" s="184" t="s">
        <v>515</v>
      </c>
      <c r="B97" s="184" t="s">
        <v>518</v>
      </c>
      <c r="C97" s="193">
        <v>0</v>
      </c>
      <c r="D97" s="193">
        <v>350000</v>
      </c>
      <c r="E97" s="193"/>
      <c r="F97" s="193"/>
      <c r="G97" s="193">
        <v>0</v>
      </c>
      <c r="H97" s="193"/>
      <c r="I97" s="193"/>
      <c r="J97" s="193"/>
      <c r="K97" s="193"/>
      <c r="L97" s="193"/>
      <c r="M97" s="381"/>
      <c r="N97" s="193">
        <f>500000-182000+511.54</f>
        <v>318511.53999999998</v>
      </c>
      <c r="O97" s="193">
        <v>0</v>
      </c>
      <c r="P97" s="193"/>
      <c r="Q97" s="191">
        <f t="shared" si="37"/>
        <v>668511.54</v>
      </c>
    </row>
    <row r="98" spans="1:17" ht="15.75" customHeight="1">
      <c r="A98" s="184" t="s">
        <v>516</v>
      </c>
      <c r="B98" s="184" t="s">
        <v>519</v>
      </c>
      <c r="C98" s="193"/>
      <c r="D98" s="193"/>
      <c r="E98" s="193"/>
      <c r="F98" s="193"/>
      <c r="G98" s="193"/>
      <c r="H98" s="193"/>
      <c r="I98" s="193"/>
      <c r="J98" s="193"/>
      <c r="K98" s="193"/>
      <c r="L98" s="193"/>
      <c r="M98" s="381"/>
      <c r="N98" s="193"/>
      <c r="O98" s="193"/>
      <c r="P98" s="193"/>
      <c r="Q98" s="191">
        <f t="shared" si="37"/>
        <v>0</v>
      </c>
    </row>
    <row r="99" spans="1:17" ht="15.75" customHeight="1">
      <c r="A99" s="184" t="s">
        <v>517</v>
      </c>
      <c r="B99" s="184" t="s">
        <v>520</v>
      </c>
      <c r="C99" s="193"/>
      <c r="D99" s="193"/>
      <c r="E99" s="193"/>
      <c r="F99" s="193"/>
      <c r="G99" s="193"/>
      <c r="H99" s="193"/>
      <c r="I99" s="193"/>
      <c r="J99" s="193"/>
      <c r="K99" s="193"/>
      <c r="L99" s="193"/>
      <c r="M99" s="381"/>
      <c r="N99" s="193"/>
      <c r="O99" s="193"/>
      <c r="P99" s="193"/>
      <c r="Q99" s="191">
        <f t="shared" si="37"/>
        <v>0</v>
      </c>
    </row>
    <row r="100" spans="1:17" ht="15.75" customHeight="1">
      <c r="A100" s="183"/>
      <c r="B100" s="186"/>
      <c r="C100" s="193"/>
      <c r="D100" s="193"/>
      <c r="E100" s="193"/>
      <c r="F100" s="193"/>
      <c r="G100" s="193"/>
      <c r="H100" s="193"/>
      <c r="I100" s="193"/>
      <c r="J100" s="193"/>
      <c r="K100" s="193"/>
      <c r="L100" s="193"/>
      <c r="M100" s="381"/>
      <c r="N100" s="193"/>
      <c r="O100" s="193"/>
      <c r="P100" s="193"/>
      <c r="Q100" s="191">
        <f t="shared" si="37"/>
        <v>0</v>
      </c>
    </row>
    <row r="101" spans="1:17" ht="15.75" customHeight="1">
      <c r="A101" s="181" t="s">
        <v>240</v>
      </c>
      <c r="B101" s="181" t="s">
        <v>241</v>
      </c>
      <c r="C101" s="193">
        <f>SUM(C102:C110)</f>
        <v>0</v>
      </c>
      <c r="D101" s="193">
        <f>SUM(D102:D110)</f>
        <v>3250000</v>
      </c>
      <c r="E101" s="193">
        <f t="shared" ref="E101:P101" si="47">SUM(E102:E110)</f>
        <v>0</v>
      </c>
      <c r="F101" s="193">
        <f t="shared" si="47"/>
        <v>0</v>
      </c>
      <c r="G101" s="193">
        <f>SUM(G102:G110)</f>
        <v>2055253.1400000001</v>
      </c>
      <c r="H101" s="193">
        <f t="shared" si="47"/>
        <v>1000000</v>
      </c>
      <c r="I101" s="193">
        <f t="shared" si="47"/>
        <v>0</v>
      </c>
      <c r="J101" s="193">
        <f t="shared" ref="J101" si="48">SUM(J102:J110)</f>
        <v>0</v>
      </c>
      <c r="K101" s="193">
        <f t="shared" si="47"/>
        <v>1000000</v>
      </c>
      <c r="L101" s="193">
        <f t="shared" si="47"/>
        <v>0</v>
      </c>
      <c r="M101" s="193">
        <f t="shared" si="47"/>
        <v>0</v>
      </c>
      <c r="N101" s="193">
        <f t="shared" si="47"/>
        <v>3150000</v>
      </c>
      <c r="O101" s="193">
        <f t="shared" si="47"/>
        <v>0</v>
      </c>
      <c r="P101" s="193">
        <f t="shared" si="47"/>
        <v>0</v>
      </c>
      <c r="Q101" s="191">
        <f t="shared" si="37"/>
        <v>10455253.140000001</v>
      </c>
    </row>
    <row r="102" spans="1:17" ht="15.75" customHeight="1">
      <c r="A102" s="184" t="s">
        <v>521</v>
      </c>
      <c r="B102" s="184" t="s">
        <v>530</v>
      </c>
      <c r="C102" s="193"/>
      <c r="D102" s="193"/>
      <c r="E102" s="193"/>
      <c r="F102" s="193"/>
      <c r="G102" s="193"/>
      <c r="H102" s="193">
        <v>1000000</v>
      </c>
      <c r="I102" s="193"/>
      <c r="J102" s="193">
        <v>0</v>
      </c>
      <c r="K102" s="193">
        <v>1000000</v>
      </c>
      <c r="L102" s="193">
        <v>0</v>
      </c>
      <c r="M102" s="381">
        <v>0</v>
      </c>
      <c r="N102" s="193">
        <v>850000</v>
      </c>
      <c r="O102" s="193">
        <v>0</v>
      </c>
      <c r="P102" s="193"/>
      <c r="Q102" s="191">
        <f t="shared" si="37"/>
        <v>2850000</v>
      </c>
    </row>
    <row r="103" spans="1:17" ht="15.75" customHeight="1">
      <c r="A103" s="184" t="s">
        <v>522</v>
      </c>
      <c r="B103" s="184" t="s">
        <v>531</v>
      </c>
      <c r="C103" s="193"/>
      <c r="D103" s="193"/>
      <c r="E103" s="193"/>
      <c r="F103" s="193"/>
      <c r="G103" s="193"/>
      <c r="H103" s="193"/>
      <c r="I103" s="193"/>
      <c r="J103" s="193"/>
      <c r="K103" s="193"/>
      <c r="L103" s="193"/>
      <c r="M103" s="381"/>
      <c r="N103" s="193"/>
      <c r="O103" s="193"/>
      <c r="P103" s="193"/>
      <c r="Q103" s="191">
        <f t="shared" si="37"/>
        <v>0</v>
      </c>
    </row>
    <row r="104" spans="1:17" ht="15.75" customHeight="1">
      <c r="A104" s="184" t="s">
        <v>523</v>
      </c>
      <c r="B104" s="184" t="s">
        <v>532</v>
      </c>
      <c r="C104" s="193"/>
      <c r="D104" s="193">
        <v>0</v>
      </c>
      <c r="E104" s="193"/>
      <c r="F104" s="193">
        <v>0</v>
      </c>
      <c r="G104" s="193">
        <v>0</v>
      </c>
      <c r="H104" s="193"/>
      <c r="I104" s="193"/>
      <c r="J104" s="193"/>
      <c r="K104" s="193"/>
      <c r="L104" s="193"/>
      <c r="M104" s="381"/>
      <c r="N104" s="193"/>
      <c r="O104" s="193"/>
      <c r="P104" s="193"/>
      <c r="Q104" s="191">
        <f t="shared" si="37"/>
        <v>0</v>
      </c>
    </row>
    <row r="105" spans="1:17" ht="26.25" customHeight="1">
      <c r="A105" s="184" t="s">
        <v>524</v>
      </c>
      <c r="B105" s="215" t="s">
        <v>534</v>
      </c>
      <c r="C105" s="193">
        <v>0</v>
      </c>
      <c r="D105" s="812">
        <v>3250000</v>
      </c>
      <c r="E105" s="193"/>
      <c r="F105" s="193"/>
      <c r="G105" s="812">
        <f>3471069.5-15816.36-1000000-400000</f>
        <v>2055253.1400000001</v>
      </c>
      <c r="H105" s="193"/>
      <c r="I105" s="193"/>
      <c r="J105" s="193"/>
      <c r="K105" s="193"/>
      <c r="L105" s="193"/>
      <c r="M105" s="381"/>
      <c r="N105" s="193"/>
      <c r="O105" s="193"/>
      <c r="P105" s="193"/>
      <c r="Q105" s="191">
        <f t="shared" si="37"/>
        <v>5305253.1400000006</v>
      </c>
    </row>
    <row r="106" spans="1:17" ht="15.75" customHeight="1">
      <c r="A106" s="184" t="s">
        <v>525</v>
      </c>
      <c r="B106" s="184" t="s">
        <v>533</v>
      </c>
      <c r="C106" s="193">
        <v>0</v>
      </c>
      <c r="D106" s="193">
        <v>0</v>
      </c>
      <c r="E106" s="193"/>
      <c r="F106" s="193"/>
      <c r="G106" s="193">
        <v>0</v>
      </c>
      <c r="H106" s="193"/>
      <c r="I106" s="193"/>
      <c r="J106" s="193"/>
      <c r="K106" s="193"/>
      <c r="L106" s="193"/>
      <c r="M106" s="381"/>
      <c r="N106" s="193">
        <v>500000</v>
      </c>
      <c r="O106" s="193"/>
      <c r="P106" s="193"/>
      <c r="Q106" s="191">
        <f t="shared" si="37"/>
        <v>500000</v>
      </c>
    </row>
    <row r="107" spans="1:17" ht="15.75" customHeight="1">
      <c r="A107" s="184" t="s">
        <v>526</v>
      </c>
      <c r="B107" s="184" t="s">
        <v>538</v>
      </c>
      <c r="C107" s="193"/>
      <c r="D107" s="193"/>
      <c r="E107" s="193"/>
      <c r="F107" s="193"/>
      <c r="G107" s="193"/>
      <c r="H107" s="193"/>
      <c r="I107" s="193"/>
      <c r="J107" s="193"/>
      <c r="K107" s="193"/>
      <c r="L107" s="193"/>
      <c r="M107" s="381"/>
      <c r="N107" s="193"/>
      <c r="O107" s="193"/>
      <c r="P107" s="193"/>
      <c r="Q107" s="191">
        <f t="shared" si="37"/>
        <v>0</v>
      </c>
    </row>
    <row r="108" spans="1:17" ht="15.75" customHeight="1">
      <c r="A108" s="184" t="s">
        <v>527</v>
      </c>
      <c r="B108" s="184" t="s">
        <v>535</v>
      </c>
      <c r="C108" s="193"/>
      <c r="D108" s="193"/>
      <c r="E108" s="193"/>
      <c r="F108" s="193"/>
      <c r="G108" s="193"/>
      <c r="H108" s="193"/>
      <c r="I108" s="193"/>
      <c r="J108" s="193"/>
      <c r="K108" s="193"/>
      <c r="L108" s="193"/>
      <c r="M108" s="381"/>
      <c r="N108" s="193">
        <v>800000</v>
      </c>
      <c r="O108" s="193"/>
      <c r="P108" s="193"/>
      <c r="Q108" s="191">
        <f t="shared" si="37"/>
        <v>800000</v>
      </c>
    </row>
    <row r="109" spans="1:17" ht="27.75" customHeight="1">
      <c r="A109" s="184" t="s">
        <v>528</v>
      </c>
      <c r="B109" s="215" t="s">
        <v>536</v>
      </c>
      <c r="C109" s="193">
        <v>0</v>
      </c>
      <c r="D109" s="193">
        <v>0</v>
      </c>
      <c r="E109" s="193"/>
      <c r="F109" s="193"/>
      <c r="G109" s="193">
        <v>0</v>
      </c>
      <c r="H109" s="193"/>
      <c r="I109" s="193"/>
      <c r="J109" s="193"/>
      <c r="K109" s="193"/>
      <c r="L109" s="193"/>
      <c r="M109" s="381">
        <v>0</v>
      </c>
      <c r="N109" s="193">
        <v>1000000</v>
      </c>
      <c r="O109" s="193"/>
      <c r="P109" s="193"/>
      <c r="Q109" s="191">
        <f t="shared" si="37"/>
        <v>1000000</v>
      </c>
    </row>
    <row r="110" spans="1:17" ht="15.75" customHeight="1">
      <c r="A110" s="184" t="s">
        <v>529</v>
      </c>
      <c r="B110" s="184" t="s">
        <v>537</v>
      </c>
      <c r="C110" s="193">
        <v>0</v>
      </c>
      <c r="D110" s="193">
        <v>0</v>
      </c>
      <c r="E110" s="193"/>
      <c r="F110" s="193"/>
      <c r="G110" s="812"/>
      <c r="H110" s="193"/>
      <c r="I110" s="193"/>
      <c r="J110" s="193"/>
      <c r="K110" s="193"/>
      <c r="L110" s="193"/>
      <c r="M110" s="381"/>
      <c r="N110" s="193"/>
      <c r="O110" s="193"/>
      <c r="P110" s="193"/>
      <c r="Q110" s="191">
        <f t="shared" si="37"/>
        <v>0</v>
      </c>
    </row>
    <row r="111" spans="1:17" ht="15.75" customHeight="1">
      <c r="A111" s="183"/>
      <c r="B111" s="186"/>
      <c r="C111" s="193"/>
      <c r="D111" s="193"/>
      <c r="E111" s="193"/>
      <c r="F111" s="193"/>
      <c r="G111" s="193"/>
      <c r="H111" s="193"/>
      <c r="I111" s="193"/>
      <c r="J111" s="193"/>
      <c r="K111" s="193"/>
      <c r="L111" s="193"/>
      <c r="M111" s="381"/>
      <c r="N111" s="193"/>
      <c r="O111" s="193"/>
      <c r="P111" s="193"/>
      <c r="Q111" s="191">
        <f t="shared" si="37"/>
        <v>0</v>
      </c>
    </row>
    <row r="112" spans="1:17" ht="26.25" customHeight="1">
      <c r="A112" s="181" t="s">
        <v>242</v>
      </c>
      <c r="B112" s="181" t="s">
        <v>243</v>
      </c>
      <c r="C112" s="193">
        <f>SUM(C113:C116)</f>
        <v>0</v>
      </c>
      <c r="D112" s="193">
        <f>SUM(D113:D116)</f>
        <v>150000</v>
      </c>
      <c r="E112" s="193">
        <f t="shared" ref="E112:P112" si="49">SUM(E113:E116)</f>
        <v>0</v>
      </c>
      <c r="F112" s="193">
        <f t="shared" si="49"/>
        <v>0</v>
      </c>
      <c r="G112" s="193">
        <f>SUM(G113:G116)</f>
        <v>0</v>
      </c>
      <c r="H112" s="193">
        <f t="shared" si="49"/>
        <v>0</v>
      </c>
      <c r="I112" s="193">
        <f t="shared" si="49"/>
        <v>0</v>
      </c>
      <c r="J112" s="193">
        <f t="shared" ref="J112" si="50">SUM(J113:J116)</f>
        <v>0</v>
      </c>
      <c r="K112" s="193">
        <f t="shared" si="49"/>
        <v>0</v>
      </c>
      <c r="L112" s="193">
        <f t="shared" si="49"/>
        <v>0</v>
      </c>
      <c r="M112" s="193">
        <f t="shared" si="49"/>
        <v>0</v>
      </c>
      <c r="N112" s="193">
        <f t="shared" si="49"/>
        <v>100000</v>
      </c>
      <c r="O112" s="193">
        <f t="shared" si="49"/>
        <v>0</v>
      </c>
      <c r="P112" s="193">
        <f t="shared" si="49"/>
        <v>0</v>
      </c>
      <c r="Q112" s="191">
        <f t="shared" si="37"/>
        <v>250000</v>
      </c>
    </row>
    <row r="113" spans="1:17" ht="15.75" customHeight="1">
      <c r="A113" s="184" t="s">
        <v>539</v>
      </c>
      <c r="B113" s="184" t="s">
        <v>543</v>
      </c>
      <c r="C113" s="193"/>
      <c r="D113" s="193"/>
      <c r="E113" s="193"/>
      <c r="F113" s="193"/>
      <c r="G113" s="193"/>
      <c r="H113" s="193"/>
      <c r="I113" s="193"/>
      <c r="J113" s="193"/>
      <c r="K113" s="193"/>
      <c r="L113" s="193"/>
      <c r="M113" s="381"/>
      <c r="N113" s="193"/>
      <c r="O113" s="193"/>
      <c r="P113" s="193"/>
      <c r="Q113" s="191">
        <f t="shared" si="37"/>
        <v>0</v>
      </c>
    </row>
    <row r="114" spans="1:17" ht="15.75" customHeight="1">
      <c r="A114" s="184" t="s">
        <v>540</v>
      </c>
      <c r="B114" s="184" t="s">
        <v>544</v>
      </c>
      <c r="C114" s="193"/>
      <c r="D114" s="193"/>
      <c r="E114" s="193"/>
      <c r="F114" s="193"/>
      <c r="G114" s="193"/>
      <c r="H114" s="193"/>
      <c r="I114" s="193"/>
      <c r="J114" s="193"/>
      <c r="K114" s="193"/>
      <c r="L114" s="193"/>
      <c r="M114" s="381"/>
      <c r="N114" s="193"/>
      <c r="O114" s="193"/>
      <c r="P114" s="193"/>
      <c r="Q114" s="191">
        <f t="shared" si="37"/>
        <v>0</v>
      </c>
    </row>
    <row r="115" spans="1:17" ht="15.75" customHeight="1">
      <c r="A115" s="184" t="s">
        <v>541</v>
      </c>
      <c r="B115" s="184" t="s">
        <v>545</v>
      </c>
      <c r="C115" s="193"/>
      <c r="D115" s="193"/>
      <c r="E115" s="193"/>
      <c r="F115" s="193"/>
      <c r="G115" s="193"/>
      <c r="H115" s="193"/>
      <c r="I115" s="193"/>
      <c r="J115" s="193"/>
      <c r="K115" s="193"/>
      <c r="L115" s="193"/>
      <c r="M115" s="381"/>
      <c r="N115" s="193"/>
      <c r="O115" s="193"/>
      <c r="P115" s="193"/>
      <c r="Q115" s="191">
        <f t="shared" si="37"/>
        <v>0</v>
      </c>
    </row>
    <row r="116" spans="1:17" ht="15.75" customHeight="1">
      <c r="A116" s="184" t="s">
        <v>542</v>
      </c>
      <c r="B116" s="184" t="s">
        <v>546</v>
      </c>
      <c r="C116" s="193">
        <v>0</v>
      </c>
      <c r="D116" s="193">
        <v>150000</v>
      </c>
      <c r="E116" s="193"/>
      <c r="F116" s="193"/>
      <c r="G116" s="193">
        <v>0</v>
      </c>
      <c r="H116" s="193"/>
      <c r="I116" s="193"/>
      <c r="J116" s="193"/>
      <c r="K116" s="193"/>
      <c r="L116" s="193"/>
      <c r="M116" s="381"/>
      <c r="N116" s="193">
        <v>100000</v>
      </c>
      <c r="O116" s="193"/>
      <c r="P116" s="193"/>
      <c r="Q116" s="191">
        <f t="shared" si="37"/>
        <v>250000</v>
      </c>
    </row>
    <row r="117" spans="1:17" ht="15.75" customHeight="1">
      <c r="A117" s="183"/>
      <c r="B117" s="186"/>
      <c r="C117" s="193"/>
      <c r="D117" s="193"/>
      <c r="E117" s="193"/>
      <c r="F117" s="193"/>
      <c r="G117" s="193"/>
      <c r="H117" s="193"/>
      <c r="I117" s="193"/>
      <c r="J117" s="193"/>
      <c r="K117" s="193"/>
      <c r="L117" s="193"/>
      <c r="M117" s="381"/>
      <c r="N117" s="193"/>
      <c r="O117" s="193"/>
      <c r="P117" s="193"/>
      <c r="Q117" s="191">
        <f t="shared" si="37"/>
        <v>0</v>
      </c>
    </row>
    <row r="118" spans="1:17" ht="15.75" customHeight="1">
      <c r="A118" s="181" t="s">
        <v>244</v>
      </c>
      <c r="B118" s="181" t="s">
        <v>245</v>
      </c>
      <c r="C118" s="193">
        <f>SUM(C119:C124)</f>
        <v>0</v>
      </c>
      <c r="D118" s="193">
        <f>SUM(D119:D124)</f>
        <v>850000</v>
      </c>
      <c r="E118" s="193">
        <f t="shared" ref="E118:P118" si="51">SUM(E119:E124)</f>
        <v>0</v>
      </c>
      <c r="F118" s="193">
        <f t="shared" si="51"/>
        <v>0</v>
      </c>
      <c r="G118" s="193">
        <f>SUM(G119:G124)</f>
        <v>0</v>
      </c>
      <c r="H118" s="193">
        <f t="shared" si="51"/>
        <v>0</v>
      </c>
      <c r="I118" s="193">
        <f t="shared" si="51"/>
        <v>0</v>
      </c>
      <c r="J118" s="193">
        <f t="shared" ref="J118" si="52">SUM(J119:J124)</f>
        <v>0</v>
      </c>
      <c r="K118" s="193">
        <f t="shared" si="51"/>
        <v>0</v>
      </c>
      <c r="L118" s="193">
        <f t="shared" si="51"/>
        <v>0</v>
      </c>
      <c r="M118" s="193">
        <f t="shared" si="51"/>
        <v>0</v>
      </c>
      <c r="N118" s="193">
        <f t="shared" si="51"/>
        <v>500000</v>
      </c>
      <c r="O118" s="193">
        <f t="shared" si="51"/>
        <v>0</v>
      </c>
      <c r="P118" s="193">
        <f t="shared" si="51"/>
        <v>0</v>
      </c>
      <c r="Q118" s="191">
        <f t="shared" si="37"/>
        <v>1350000</v>
      </c>
    </row>
    <row r="119" spans="1:17" ht="15.75" customHeight="1">
      <c r="A119" s="184" t="s">
        <v>547</v>
      </c>
      <c r="B119" s="184" t="s">
        <v>555</v>
      </c>
      <c r="C119" s="193"/>
      <c r="D119" s="193"/>
      <c r="E119" s="193"/>
      <c r="F119" s="193"/>
      <c r="G119" s="193"/>
      <c r="H119" s="193"/>
      <c r="I119" s="193"/>
      <c r="J119" s="193"/>
      <c r="K119" s="193"/>
      <c r="L119" s="193"/>
      <c r="M119" s="381"/>
      <c r="N119" s="193"/>
      <c r="O119" s="193"/>
      <c r="P119" s="193"/>
      <c r="Q119" s="191">
        <f t="shared" si="37"/>
        <v>0</v>
      </c>
    </row>
    <row r="120" spans="1:17" ht="15.75" customHeight="1">
      <c r="A120" s="184" t="s">
        <v>549</v>
      </c>
      <c r="B120" s="184" t="s">
        <v>556</v>
      </c>
      <c r="C120" s="193"/>
      <c r="D120" s="193"/>
      <c r="E120" s="193"/>
      <c r="F120" s="193"/>
      <c r="G120" s="193"/>
      <c r="H120" s="193"/>
      <c r="I120" s="193"/>
      <c r="J120" s="193"/>
      <c r="K120" s="193"/>
      <c r="L120" s="193"/>
      <c r="M120" s="381"/>
      <c r="N120" s="193"/>
      <c r="O120" s="193"/>
      <c r="P120" s="193"/>
      <c r="Q120" s="191">
        <f t="shared" si="37"/>
        <v>0</v>
      </c>
    </row>
    <row r="121" spans="1:17" ht="15.75" customHeight="1">
      <c r="A121" s="184" t="s">
        <v>550</v>
      </c>
      <c r="B121" s="184" t="s">
        <v>557</v>
      </c>
      <c r="C121" s="193"/>
      <c r="D121" s="193"/>
      <c r="E121" s="193"/>
      <c r="F121" s="193"/>
      <c r="G121" s="193"/>
      <c r="H121" s="193"/>
      <c r="I121" s="193"/>
      <c r="J121" s="193"/>
      <c r="K121" s="193"/>
      <c r="L121" s="193"/>
      <c r="M121" s="381"/>
      <c r="N121" s="193"/>
      <c r="O121" s="193"/>
      <c r="P121" s="193"/>
      <c r="Q121" s="191">
        <f t="shared" si="37"/>
        <v>0</v>
      </c>
    </row>
    <row r="122" spans="1:17" ht="15.75" customHeight="1">
      <c r="A122" s="184" t="s">
        <v>551</v>
      </c>
      <c r="B122" s="184" t="s">
        <v>558</v>
      </c>
      <c r="C122" s="193"/>
      <c r="D122" s="193"/>
      <c r="E122" s="193"/>
      <c r="F122" s="193"/>
      <c r="G122" s="193"/>
      <c r="H122" s="193"/>
      <c r="I122" s="193"/>
      <c r="J122" s="193"/>
      <c r="K122" s="193"/>
      <c r="L122" s="193"/>
      <c r="M122" s="381"/>
      <c r="N122" s="193"/>
      <c r="O122" s="193"/>
      <c r="P122" s="193"/>
      <c r="Q122" s="191">
        <f t="shared" si="37"/>
        <v>0</v>
      </c>
    </row>
    <row r="123" spans="1:17" ht="15.75" customHeight="1">
      <c r="A123" s="184" t="s">
        <v>552</v>
      </c>
      <c r="B123" s="184" t="s">
        <v>559</v>
      </c>
      <c r="C123" s="812"/>
      <c r="D123" s="812">
        <v>850000</v>
      </c>
      <c r="E123" s="193"/>
      <c r="F123" s="193"/>
      <c r="G123" s="812"/>
      <c r="H123" s="193"/>
      <c r="I123" s="193"/>
      <c r="J123" s="193"/>
      <c r="K123" s="193"/>
      <c r="L123" s="193"/>
      <c r="M123" s="381"/>
      <c r="N123" s="193">
        <v>500000</v>
      </c>
      <c r="O123" s="193"/>
      <c r="P123" s="193"/>
      <c r="Q123" s="191">
        <f t="shared" si="37"/>
        <v>1350000</v>
      </c>
    </row>
    <row r="124" spans="1:17" ht="15.75" customHeight="1">
      <c r="A124" s="184" t="s">
        <v>553</v>
      </c>
      <c r="B124" s="184" t="s">
        <v>560</v>
      </c>
      <c r="C124" s="193"/>
      <c r="D124" s="193"/>
      <c r="E124" s="193"/>
      <c r="F124" s="193"/>
      <c r="G124" s="193"/>
      <c r="H124" s="193"/>
      <c r="I124" s="193"/>
      <c r="J124" s="193"/>
      <c r="K124" s="193"/>
      <c r="L124" s="193"/>
      <c r="M124" s="381"/>
      <c r="N124" s="193"/>
      <c r="O124" s="193"/>
      <c r="P124" s="193"/>
      <c r="Q124" s="191">
        <f t="shared" si="37"/>
        <v>0</v>
      </c>
    </row>
    <row r="125" spans="1:17" ht="15.75" customHeight="1">
      <c r="A125" s="183"/>
      <c r="B125" s="186"/>
      <c r="C125" s="193"/>
      <c r="D125" s="193"/>
      <c r="E125" s="193">
        <v>0</v>
      </c>
      <c r="F125" s="193"/>
      <c r="G125" s="193"/>
      <c r="H125" s="193"/>
      <c r="I125" s="193"/>
      <c r="J125" s="193"/>
      <c r="K125" s="193"/>
      <c r="L125" s="193"/>
      <c r="M125" s="381"/>
      <c r="N125" s="193"/>
      <c r="O125" s="193"/>
      <c r="P125" s="193"/>
      <c r="Q125" s="191">
        <f t="shared" si="37"/>
        <v>0</v>
      </c>
    </row>
    <row r="126" spans="1:17" ht="15.75" customHeight="1">
      <c r="A126" s="181">
        <v>2</v>
      </c>
      <c r="B126" s="181" t="s">
        <v>561</v>
      </c>
      <c r="C126" s="193">
        <f>+C127+C134+C141+C150+C154+C160</f>
        <v>3733667.36</v>
      </c>
      <c r="D126" s="193">
        <f>+D127+D134+D141+D150+D154+D160</f>
        <v>17206562.969999999</v>
      </c>
      <c r="E126" s="193">
        <f t="shared" ref="E126:P126" si="53">+E127+E134+E141+E150+E154+E160</f>
        <v>1030510.07</v>
      </c>
      <c r="F126" s="193">
        <f t="shared" si="53"/>
        <v>1047000</v>
      </c>
      <c r="G126" s="193">
        <f>+G127+G134+G141+G150+G154+G160</f>
        <v>10792978.609999999</v>
      </c>
      <c r="H126" s="193">
        <f t="shared" si="53"/>
        <v>0</v>
      </c>
      <c r="I126" s="193">
        <f t="shared" si="53"/>
        <v>1500000</v>
      </c>
      <c r="J126" s="193">
        <f t="shared" ref="J126" si="54">+J127+J134+J141+J150+J154+J160</f>
        <v>28933297.050000001</v>
      </c>
      <c r="K126" s="193">
        <f t="shared" si="53"/>
        <v>2000000</v>
      </c>
      <c r="L126" s="193">
        <f t="shared" si="53"/>
        <v>0</v>
      </c>
      <c r="M126" s="193">
        <f t="shared" si="53"/>
        <v>840000</v>
      </c>
      <c r="N126" s="193">
        <f t="shared" si="53"/>
        <v>8145051.0600000005</v>
      </c>
      <c r="O126" s="193">
        <f t="shared" si="53"/>
        <v>1100000</v>
      </c>
      <c r="P126" s="193">
        <f t="shared" si="53"/>
        <v>0</v>
      </c>
      <c r="Q126" s="191">
        <f t="shared" si="37"/>
        <v>76329067.120000005</v>
      </c>
    </row>
    <row r="127" spans="1:17" ht="15.75" customHeight="1">
      <c r="A127" s="181" t="s">
        <v>246</v>
      </c>
      <c r="B127" s="181" t="s">
        <v>247</v>
      </c>
      <c r="C127" s="193">
        <f>SUM(C128:C132)</f>
        <v>1000000</v>
      </c>
      <c r="D127" s="193">
        <f>SUM(D128:D132)</f>
        <v>10806562.970000001</v>
      </c>
      <c r="E127" s="193">
        <f t="shared" ref="E127:P127" si="55">SUM(E128:E132)</f>
        <v>1030510.07</v>
      </c>
      <c r="F127" s="193">
        <f t="shared" si="55"/>
        <v>602000</v>
      </c>
      <c r="G127" s="193">
        <f>SUM(G128:G132)</f>
        <v>5192978.6100000003</v>
      </c>
      <c r="H127" s="193">
        <f t="shared" si="55"/>
        <v>0</v>
      </c>
      <c r="I127" s="193">
        <f t="shared" si="55"/>
        <v>750000</v>
      </c>
      <c r="J127" s="193">
        <f t="shared" ref="J127" si="56">SUM(J128:J132)</f>
        <v>2500000</v>
      </c>
      <c r="K127" s="193">
        <f t="shared" si="55"/>
        <v>0</v>
      </c>
      <c r="L127" s="193">
        <f t="shared" si="55"/>
        <v>0</v>
      </c>
      <c r="M127" s="193">
        <f t="shared" si="55"/>
        <v>0</v>
      </c>
      <c r="N127" s="193">
        <f t="shared" si="55"/>
        <v>2000000</v>
      </c>
      <c r="O127" s="193">
        <f t="shared" si="55"/>
        <v>1000000</v>
      </c>
      <c r="P127" s="193">
        <f t="shared" si="55"/>
        <v>0</v>
      </c>
      <c r="Q127" s="191">
        <f t="shared" si="37"/>
        <v>24882051.650000002</v>
      </c>
    </row>
    <row r="128" spans="1:17" ht="15.75" customHeight="1">
      <c r="A128" s="184" t="s">
        <v>562</v>
      </c>
      <c r="B128" s="184" t="s">
        <v>581</v>
      </c>
      <c r="C128" s="812">
        <v>1000000</v>
      </c>
      <c r="D128" s="812">
        <v>10806562.970000001</v>
      </c>
      <c r="E128" s="193">
        <f>+'Ingreso Interno'!C105</f>
        <v>1030510.07</v>
      </c>
      <c r="F128" s="193">
        <v>602000</v>
      </c>
      <c r="G128" s="812">
        <f>5000000-207021.39</f>
        <v>4792978.6100000003</v>
      </c>
      <c r="H128" s="193">
        <v>0</v>
      </c>
      <c r="I128" s="193">
        <v>750000</v>
      </c>
      <c r="J128" s="193">
        <v>1500000</v>
      </c>
      <c r="K128" s="193">
        <v>0</v>
      </c>
      <c r="L128" s="193">
        <v>0</v>
      </c>
      <c r="M128" s="381"/>
      <c r="N128" s="193">
        <v>1000000</v>
      </c>
      <c r="O128" s="193">
        <v>1000000</v>
      </c>
      <c r="P128" s="193">
        <v>0</v>
      </c>
      <c r="Q128" s="191">
        <f t="shared" si="37"/>
        <v>22482051.650000002</v>
      </c>
    </row>
    <row r="129" spans="1:18" ht="15.75" customHeight="1">
      <c r="A129" s="184" t="s">
        <v>563</v>
      </c>
      <c r="B129" s="184" t="s">
        <v>582</v>
      </c>
      <c r="C129" s="193"/>
      <c r="D129" s="812"/>
      <c r="E129" s="193"/>
      <c r="F129" s="193"/>
      <c r="G129" s="812">
        <v>400000</v>
      </c>
      <c r="H129" s="193"/>
      <c r="I129" s="193"/>
      <c r="J129" s="193"/>
      <c r="K129" s="193"/>
      <c r="L129" s="193"/>
      <c r="M129" s="381"/>
      <c r="N129" s="193"/>
      <c r="O129" s="193"/>
      <c r="P129" s="193"/>
      <c r="Q129" s="191">
        <f t="shared" si="37"/>
        <v>400000</v>
      </c>
      <c r="R129" s="190"/>
    </row>
    <row r="130" spans="1:18" ht="15.75" customHeight="1">
      <c r="A130" s="184" t="s">
        <v>564</v>
      </c>
      <c r="B130" s="184" t="s">
        <v>583</v>
      </c>
      <c r="C130" s="193"/>
      <c r="D130" s="193"/>
      <c r="E130" s="193"/>
      <c r="F130" s="193"/>
      <c r="G130" s="193"/>
      <c r="H130" s="193"/>
      <c r="I130" s="193"/>
      <c r="J130" s="193"/>
      <c r="K130" s="193"/>
      <c r="L130" s="193"/>
      <c r="M130" s="381"/>
      <c r="N130" s="193"/>
      <c r="O130" s="193"/>
      <c r="P130" s="193"/>
      <c r="Q130" s="191">
        <f t="shared" si="37"/>
        <v>0</v>
      </c>
    </row>
    <row r="131" spans="1:18" ht="15.75" customHeight="1">
      <c r="A131" s="184" t="s">
        <v>579</v>
      </c>
      <c r="B131" s="184" t="s">
        <v>584</v>
      </c>
      <c r="C131" s="193"/>
      <c r="D131" s="193"/>
      <c r="E131" s="193"/>
      <c r="F131" s="193"/>
      <c r="G131" s="812">
        <v>0</v>
      </c>
      <c r="H131" s="193">
        <v>0</v>
      </c>
      <c r="I131" s="193"/>
      <c r="J131" s="193">
        <v>1000000</v>
      </c>
      <c r="K131" s="193">
        <v>0</v>
      </c>
      <c r="L131" s="193">
        <v>0</v>
      </c>
      <c r="M131" s="381"/>
      <c r="N131" s="193">
        <v>1000000</v>
      </c>
      <c r="O131" s="193">
        <v>0</v>
      </c>
      <c r="P131" s="193"/>
      <c r="Q131" s="191">
        <f t="shared" si="37"/>
        <v>2000000</v>
      </c>
    </row>
    <row r="132" spans="1:18" ht="15.75" customHeight="1">
      <c r="A132" s="184" t="s">
        <v>580</v>
      </c>
      <c r="B132" s="184" t="s">
        <v>585</v>
      </c>
      <c r="C132" s="812"/>
      <c r="D132" s="193"/>
      <c r="E132" s="193"/>
      <c r="F132" s="193"/>
      <c r="G132" s="193">
        <v>0</v>
      </c>
      <c r="H132" s="193"/>
      <c r="I132" s="193"/>
      <c r="J132" s="193">
        <v>0</v>
      </c>
      <c r="K132" s="193">
        <v>0</v>
      </c>
      <c r="L132" s="193">
        <v>0</v>
      </c>
      <c r="M132" s="381"/>
      <c r="N132" s="193"/>
      <c r="O132" s="193"/>
      <c r="P132" s="193"/>
      <c r="Q132" s="191">
        <f t="shared" si="37"/>
        <v>0</v>
      </c>
    </row>
    <row r="133" spans="1:18" ht="15.75" customHeight="1">
      <c r="A133" s="184"/>
      <c r="B133" s="184"/>
      <c r="C133" s="193"/>
      <c r="D133" s="193"/>
      <c r="E133" s="193"/>
      <c r="F133" s="193"/>
      <c r="G133" s="193"/>
      <c r="H133" s="193"/>
      <c r="I133" s="193"/>
      <c r="J133" s="193"/>
      <c r="K133" s="193"/>
      <c r="L133" s="193"/>
      <c r="M133" s="381"/>
      <c r="N133" s="193"/>
      <c r="O133" s="193"/>
      <c r="P133" s="193"/>
      <c r="Q133" s="191">
        <f t="shared" si="37"/>
        <v>0</v>
      </c>
    </row>
    <row r="134" spans="1:18" ht="15.75" customHeight="1">
      <c r="A134" s="181" t="s">
        <v>248</v>
      </c>
      <c r="B134" s="181" t="s">
        <v>249</v>
      </c>
      <c r="C134" s="193">
        <f>SUM(C135:C138)</f>
        <v>0</v>
      </c>
      <c r="D134" s="193">
        <f>SUM(D135:D138)</f>
        <v>0</v>
      </c>
      <c r="E134" s="193">
        <f t="shared" ref="E134:P134" si="57">SUM(E135:E138)</f>
        <v>0</v>
      </c>
      <c r="F134" s="193">
        <f t="shared" si="57"/>
        <v>0</v>
      </c>
      <c r="G134" s="193">
        <f>SUM(G135:G138)</f>
        <v>0</v>
      </c>
      <c r="H134" s="193">
        <f t="shared" si="57"/>
        <v>0</v>
      </c>
      <c r="I134" s="193">
        <f t="shared" si="57"/>
        <v>750000</v>
      </c>
      <c r="J134" s="193">
        <f t="shared" ref="J134" si="58">SUM(J135:J138)</f>
        <v>21433297.050000001</v>
      </c>
      <c r="K134" s="193">
        <f t="shared" si="57"/>
        <v>0</v>
      </c>
      <c r="L134" s="193">
        <f t="shared" si="57"/>
        <v>0</v>
      </c>
      <c r="M134" s="193">
        <f t="shared" si="57"/>
        <v>540000</v>
      </c>
      <c r="N134" s="193">
        <f t="shared" si="57"/>
        <v>0</v>
      </c>
      <c r="O134" s="193">
        <f t="shared" si="57"/>
        <v>0</v>
      </c>
      <c r="P134" s="193">
        <f t="shared" si="57"/>
        <v>0</v>
      </c>
      <c r="Q134" s="191">
        <f t="shared" si="37"/>
        <v>22723297.050000001</v>
      </c>
    </row>
    <row r="135" spans="1:18" ht="15.75" customHeight="1">
      <c r="A135" s="184" t="s">
        <v>590</v>
      </c>
      <c r="B135" s="184" t="s">
        <v>586</v>
      </c>
      <c r="C135" s="193"/>
      <c r="D135" s="193"/>
      <c r="E135" s="193">
        <v>0</v>
      </c>
      <c r="F135" s="193"/>
      <c r="G135" s="193"/>
      <c r="H135" s="193"/>
      <c r="I135" s="193"/>
      <c r="J135" s="193"/>
      <c r="K135" s="193"/>
      <c r="L135" s="193"/>
      <c r="M135" s="381"/>
      <c r="N135" s="193"/>
      <c r="O135" s="193"/>
      <c r="P135" s="193"/>
      <c r="Q135" s="191">
        <f t="shared" si="37"/>
        <v>0</v>
      </c>
    </row>
    <row r="136" spans="1:18" ht="15.75" customHeight="1">
      <c r="A136" s="184" t="s">
        <v>591</v>
      </c>
      <c r="B136" s="184" t="s">
        <v>587</v>
      </c>
      <c r="C136" s="193"/>
      <c r="D136" s="193"/>
      <c r="E136" s="193"/>
      <c r="F136" s="193"/>
      <c r="G136" s="193">
        <v>0</v>
      </c>
      <c r="H136" s="193"/>
      <c r="I136" s="193"/>
      <c r="J136" s="193"/>
      <c r="K136" s="193"/>
      <c r="L136" s="193"/>
      <c r="M136" s="381">
        <f>+Tranferencias!J17</f>
        <v>540000</v>
      </c>
      <c r="N136" s="193"/>
      <c r="O136" s="193"/>
      <c r="P136" s="193"/>
      <c r="Q136" s="191">
        <f t="shared" si="37"/>
        <v>540000</v>
      </c>
    </row>
    <row r="137" spans="1:18" ht="15.75" customHeight="1">
      <c r="A137" s="184" t="s">
        <v>592</v>
      </c>
      <c r="B137" s="184" t="s">
        <v>588</v>
      </c>
      <c r="C137" s="193"/>
      <c r="D137" s="193"/>
      <c r="E137" s="193"/>
      <c r="F137" s="193"/>
      <c r="G137" s="193"/>
      <c r="H137" s="193"/>
      <c r="I137" s="193">
        <v>750000</v>
      </c>
      <c r="J137" s="193">
        <f>21487228.16-53931.11</f>
        <v>21433297.050000001</v>
      </c>
      <c r="K137" s="193"/>
      <c r="L137" s="193"/>
      <c r="M137" s="381"/>
      <c r="N137" s="193"/>
      <c r="O137" s="193"/>
      <c r="P137" s="193"/>
      <c r="Q137" s="191">
        <f t="shared" si="37"/>
        <v>22183297.050000001</v>
      </c>
    </row>
    <row r="138" spans="1:18" ht="15.75" customHeight="1">
      <c r="A138" s="184" t="s">
        <v>593</v>
      </c>
      <c r="B138" s="184" t="s">
        <v>589</v>
      </c>
      <c r="C138" s="813">
        <v>0</v>
      </c>
      <c r="D138" s="813">
        <v>0</v>
      </c>
      <c r="E138" s="193"/>
      <c r="F138" s="193"/>
      <c r="G138" s="813">
        <v>0</v>
      </c>
      <c r="H138" s="193"/>
      <c r="I138" s="193"/>
      <c r="J138" s="193"/>
      <c r="K138" s="193"/>
      <c r="L138" s="193"/>
      <c r="M138" s="381"/>
      <c r="N138" s="193"/>
      <c r="O138" s="193"/>
      <c r="P138" s="193"/>
      <c r="Q138" s="191">
        <f t="shared" ref="Q138:Q201" si="59">SUM(C138:P138)</f>
        <v>0</v>
      </c>
    </row>
    <row r="139" spans="1:18" ht="15.75" customHeight="1">
      <c r="A139" s="183"/>
      <c r="B139" s="186"/>
      <c r="C139" s="193"/>
      <c r="D139" s="193"/>
      <c r="E139" s="193"/>
      <c r="F139" s="193"/>
      <c r="G139" s="193"/>
      <c r="H139" s="193"/>
      <c r="I139" s="193"/>
      <c r="J139" s="193"/>
      <c r="K139" s="193"/>
      <c r="L139" s="193"/>
      <c r="M139" s="381"/>
      <c r="N139" s="193"/>
      <c r="O139" s="193"/>
      <c r="P139" s="193"/>
      <c r="Q139" s="191">
        <f t="shared" si="59"/>
        <v>0</v>
      </c>
    </row>
    <row r="140" spans="1:18" ht="15.75" customHeight="1">
      <c r="A140" s="183"/>
      <c r="B140" s="186"/>
      <c r="C140" s="193"/>
      <c r="D140" s="193"/>
      <c r="E140" s="193"/>
      <c r="F140" s="193"/>
      <c r="G140" s="193"/>
      <c r="H140" s="193"/>
      <c r="I140" s="193"/>
      <c r="J140" s="193"/>
      <c r="K140" s="193"/>
      <c r="L140" s="193"/>
      <c r="M140" s="381"/>
      <c r="N140" s="193"/>
      <c r="O140" s="193"/>
      <c r="P140" s="193"/>
      <c r="Q140" s="191">
        <f t="shared" si="59"/>
        <v>0</v>
      </c>
    </row>
    <row r="141" spans="1:18" ht="15.75" customHeight="1">
      <c r="A141" s="181" t="s">
        <v>594</v>
      </c>
      <c r="B141" s="181" t="s">
        <v>595</v>
      </c>
      <c r="C141" s="193">
        <f>SUM(C142:C148)</f>
        <v>0</v>
      </c>
      <c r="D141" s="193">
        <f>SUM(D142:D148)</f>
        <v>0</v>
      </c>
      <c r="E141" s="193">
        <f t="shared" ref="E141:P141" si="60">SUM(E142:E148)</f>
        <v>0</v>
      </c>
      <c r="F141" s="193">
        <f t="shared" si="60"/>
        <v>445000</v>
      </c>
      <c r="G141" s="193">
        <f>SUM(G142:G148)</f>
        <v>0</v>
      </c>
      <c r="H141" s="193">
        <f t="shared" si="60"/>
        <v>0</v>
      </c>
      <c r="I141" s="193">
        <f t="shared" si="60"/>
        <v>0</v>
      </c>
      <c r="J141" s="193">
        <f t="shared" ref="J141" si="61">SUM(J142:J148)</f>
        <v>0</v>
      </c>
      <c r="K141" s="193">
        <f t="shared" si="60"/>
        <v>2000000</v>
      </c>
      <c r="L141" s="193">
        <f t="shared" si="60"/>
        <v>0</v>
      </c>
      <c r="M141" s="193">
        <f t="shared" si="60"/>
        <v>0</v>
      </c>
      <c r="N141" s="193">
        <f t="shared" si="60"/>
        <v>0</v>
      </c>
      <c r="O141" s="193">
        <f t="shared" si="60"/>
        <v>0</v>
      </c>
      <c r="P141" s="193">
        <f t="shared" si="60"/>
        <v>0</v>
      </c>
      <c r="Q141" s="191">
        <f t="shared" si="59"/>
        <v>2445000</v>
      </c>
    </row>
    <row r="142" spans="1:18" ht="15.75" customHeight="1">
      <c r="A142" s="184" t="s">
        <v>596</v>
      </c>
      <c r="B142" s="184" t="s">
        <v>603</v>
      </c>
      <c r="C142" s="193"/>
      <c r="D142" s="193"/>
      <c r="E142" s="193"/>
      <c r="F142" s="193"/>
      <c r="G142" s="193">
        <v>0</v>
      </c>
      <c r="H142" s="193"/>
      <c r="I142" s="193"/>
      <c r="J142" s="193"/>
      <c r="K142" s="193">
        <v>600000</v>
      </c>
      <c r="L142" s="193"/>
      <c r="M142" s="381"/>
      <c r="N142" s="193"/>
      <c r="O142" s="193"/>
      <c r="P142" s="193"/>
      <c r="Q142" s="191">
        <f t="shared" si="59"/>
        <v>600000</v>
      </c>
    </row>
    <row r="143" spans="1:18" ht="15.75" customHeight="1">
      <c r="A143" s="184" t="s">
        <v>597</v>
      </c>
      <c r="B143" s="184" t="s">
        <v>604</v>
      </c>
      <c r="C143" s="193"/>
      <c r="D143" s="193"/>
      <c r="E143" s="193"/>
      <c r="F143" s="193">
        <v>0</v>
      </c>
      <c r="G143" s="812">
        <v>0</v>
      </c>
      <c r="H143" s="193"/>
      <c r="I143" s="193"/>
      <c r="J143" s="193"/>
      <c r="K143" s="193">
        <v>200000</v>
      </c>
      <c r="L143" s="193"/>
      <c r="M143" s="381"/>
      <c r="N143" s="193"/>
      <c r="O143" s="193"/>
      <c r="P143" s="193">
        <v>0</v>
      </c>
      <c r="Q143" s="191">
        <f t="shared" si="59"/>
        <v>200000</v>
      </c>
    </row>
    <row r="144" spans="1:18" ht="15.75" customHeight="1">
      <c r="A144" s="184" t="s">
        <v>598</v>
      </c>
      <c r="B144" s="184" t="s">
        <v>605</v>
      </c>
      <c r="C144" s="193"/>
      <c r="D144" s="193"/>
      <c r="E144" s="193"/>
      <c r="F144" s="193"/>
      <c r="G144" s="812">
        <v>0</v>
      </c>
      <c r="H144" s="193"/>
      <c r="I144" s="193"/>
      <c r="J144" s="193"/>
      <c r="K144" s="193">
        <v>100000</v>
      </c>
      <c r="L144" s="193"/>
      <c r="M144" s="381"/>
      <c r="N144" s="193"/>
      <c r="O144" s="193"/>
      <c r="P144" s="193"/>
      <c r="Q144" s="191">
        <f t="shared" si="59"/>
        <v>100000</v>
      </c>
    </row>
    <row r="145" spans="1:17" ht="15.75" customHeight="1">
      <c r="A145" s="184" t="s">
        <v>599</v>
      </c>
      <c r="B145" s="184" t="s">
        <v>606</v>
      </c>
      <c r="C145" s="193"/>
      <c r="D145" s="193"/>
      <c r="E145" s="193"/>
      <c r="F145" s="193">
        <v>445000</v>
      </c>
      <c r="G145" s="193">
        <v>0</v>
      </c>
      <c r="H145" s="193"/>
      <c r="I145" s="193"/>
      <c r="J145" s="193"/>
      <c r="K145" s="193">
        <v>200000</v>
      </c>
      <c r="L145" s="193"/>
      <c r="M145" s="381"/>
      <c r="N145" s="193">
        <v>0</v>
      </c>
      <c r="O145" s="193"/>
      <c r="P145" s="193"/>
      <c r="Q145" s="191">
        <f t="shared" si="59"/>
        <v>645000</v>
      </c>
    </row>
    <row r="146" spans="1:17" ht="15.75" customHeight="1">
      <c r="A146" s="184" t="s">
        <v>600</v>
      </c>
      <c r="B146" s="184" t="s">
        <v>607</v>
      </c>
      <c r="C146" s="193"/>
      <c r="D146" s="812"/>
      <c r="E146" s="193"/>
      <c r="F146" s="193"/>
      <c r="G146" s="812">
        <v>0</v>
      </c>
      <c r="H146" s="193"/>
      <c r="I146" s="193"/>
      <c r="J146" s="193"/>
      <c r="K146" s="193">
        <v>600000</v>
      </c>
      <c r="L146" s="193"/>
      <c r="M146" s="381"/>
      <c r="N146" s="193"/>
      <c r="O146" s="193"/>
      <c r="P146" s="193"/>
      <c r="Q146" s="191">
        <f t="shared" si="59"/>
        <v>600000</v>
      </c>
    </row>
    <row r="147" spans="1:17" ht="13.5" customHeight="1">
      <c r="A147" s="184" t="s">
        <v>601</v>
      </c>
      <c r="B147" s="184" t="s">
        <v>608</v>
      </c>
      <c r="C147" s="812"/>
      <c r="D147" s="812"/>
      <c r="E147" s="193"/>
      <c r="F147" s="193"/>
      <c r="G147" s="812">
        <v>0</v>
      </c>
      <c r="H147" s="193"/>
      <c r="I147" s="193"/>
      <c r="J147" s="193"/>
      <c r="K147" s="193">
        <v>200000</v>
      </c>
      <c r="L147" s="193"/>
      <c r="M147" s="381"/>
      <c r="N147" s="193"/>
      <c r="O147" s="193"/>
      <c r="P147" s="193"/>
      <c r="Q147" s="191">
        <f t="shared" si="59"/>
        <v>200000</v>
      </c>
    </row>
    <row r="148" spans="1:17" ht="15.75" customHeight="1">
      <c r="A148" s="184" t="s">
        <v>602</v>
      </c>
      <c r="B148" s="184" t="s">
        <v>609</v>
      </c>
      <c r="C148" s="193"/>
      <c r="D148" s="193"/>
      <c r="E148" s="193"/>
      <c r="F148" s="193"/>
      <c r="G148" s="193">
        <v>0</v>
      </c>
      <c r="H148" s="193"/>
      <c r="I148" s="193"/>
      <c r="J148" s="193"/>
      <c r="K148" s="193">
        <v>100000</v>
      </c>
      <c r="L148" s="193"/>
      <c r="M148" s="381"/>
      <c r="N148" s="193"/>
      <c r="O148" s="193"/>
      <c r="P148" s="193"/>
      <c r="Q148" s="191">
        <f t="shared" si="59"/>
        <v>100000</v>
      </c>
    </row>
    <row r="149" spans="1:17" ht="15.75" customHeight="1">
      <c r="A149" s="183"/>
      <c r="B149" s="186"/>
      <c r="C149" s="193"/>
      <c r="D149" s="193"/>
      <c r="E149" s="193"/>
      <c r="F149" s="193"/>
      <c r="G149" s="193"/>
      <c r="H149" s="193"/>
      <c r="I149" s="193"/>
      <c r="J149" s="193"/>
      <c r="K149" s="193"/>
      <c r="L149" s="193"/>
      <c r="M149" s="381"/>
      <c r="N149" s="193"/>
      <c r="O149" s="193"/>
      <c r="P149" s="193"/>
      <c r="Q149" s="191">
        <f t="shared" si="59"/>
        <v>0</v>
      </c>
    </row>
    <row r="150" spans="1:17" ht="15.75" customHeight="1">
      <c r="A150" s="181" t="s">
        <v>250</v>
      </c>
      <c r="B150" s="181" t="s">
        <v>251</v>
      </c>
      <c r="C150" s="193">
        <f>SUM(C151:C152)</f>
        <v>533667.36</v>
      </c>
      <c r="D150" s="193">
        <f>SUM(D151:D152)</f>
        <v>5000000</v>
      </c>
      <c r="E150" s="193">
        <f t="shared" ref="E150:P150" si="62">SUM(E151:E152)</f>
        <v>0</v>
      </c>
      <c r="F150" s="193">
        <f t="shared" si="62"/>
        <v>0</v>
      </c>
      <c r="G150" s="193">
        <f>SUM(G151:G152)</f>
        <v>2500000</v>
      </c>
      <c r="H150" s="193">
        <f t="shared" si="62"/>
        <v>0</v>
      </c>
      <c r="I150" s="193">
        <f t="shared" si="62"/>
        <v>0</v>
      </c>
      <c r="J150" s="193">
        <f t="shared" ref="J150" si="63">SUM(J151:J152)</f>
        <v>0</v>
      </c>
      <c r="K150" s="193">
        <f t="shared" si="62"/>
        <v>0</v>
      </c>
      <c r="L150" s="193">
        <f t="shared" si="62"/>
        <v>0</v>
      </c>
      <c r="M150" s="193">
        <f t="shared" si="62"/>
        <v>0</v>
      </c>
      <c r="N150" s="193">
        <f t="shared" si="62"/>
        <v>500000</v>
      </c>
      <c r="O150" s="193">
        <f t="shared" si="62"/>
        <v>0</v>
      </c>
      <c r="P150" s="193">
        <f t="shared" si="62"/>
        <v>0</v>
      </c>
      <c r="Q150" s="191">
        <f t="shared" si="59"/>
        <v>8533667.3599999994</v>
      </c>
    </row>
    <row r="151" spans="1:17" ht="15.75" customHeight="1">
      <c r="A151" s="184" t="s">
        <v>610</v>
      </c>
      <c r="B151" s="184" t="s">
        <v>612</v>
      </c>
      <c r="C151" s="193"/>
      <c r="D151" s="812">
        <v>0</v>
      </c>
      <c r="E151" s="193"/>
      <c r="F151" s="193"/>
      <c r="G151" s="812">
        <v>500000</v>
      </c>
      <c r="H151" s="193"/>
      <c r="I151" s="193"/>
      <c r="J151" s="193"/>
      <c r="K151" s="193"/>
      <c r="L151" s="193">
        <v>0</v>
      </c>
      <c r="M151" s="381">
        <v>0</v>
      </c>
      <c r="N151" s="193">
        <v>0</v>
      </c>
      <c r="O151" s="193">
        <v>0</v>
      </c>
      <c r="P151" s="193"/>
      <c r="Q151" s="191">
        <f t="shared" si="59"/>
        <v>500000</v>
      </c>
    </row>
    <row r="152" spans="1:17" ht="15.75" customHeight="1">
      <c r="A152" s="184" t="s">
        <v>611</v>
      </c>
      <c r="B152" s="184" t="s">
        <v>613</v>
      </c>
      <c r="C152" s="193">
        <v>533667.36</v>
      </c>
      <c r="D152" s="812">
        <v>5000000</v>
      </c>
      <c r="E152" s="193"/>
      <c r="F152" s="193"/>
      <c r="G152" s="812">
        <v>2000000</v>
      </c>
      <c r="H152" s="193">
        <v>0</v>
      </c>
      <c r="I152" s="193"/>
      <c r="J152" s="193"/>
      <c r="K152" s="193"/>
      <c r="L152" s="193">
        <v>0</v>
      </c>
      <c r="M152" s="381"/>
      <c r="N152" s="193">
        <v>500000</v>
      </c>
      <c r="O152" s="193"/>
      <c r="P152" s="193"/>
      <c r="Q152" s="191">
        <f t="shared" si="59"/>
        <v>8033667.3600000003</v>
      </c>
    </row>
    <row r="153" spans="1:17" ht="15.75" customHeight="1">
      <c r="A153" s="183"/>
      <c r="B153" s="186"/>
      <c r="C153" s="193"/>
      <c r="D153" s="193"/>
      <c r="E153" s="193"/>
      <c r="F153" s="193"/>
      <c r="G153" s="193"/>
      <c r="H153" s="193"/>
      <c r="I153" s="193"/>
      <c r="J153" s="193"/>
      <c r="K153" s="193"/>
      <c r="L153" s="193"/>
      <c r="M153" s="381"/>
      <c r="N153" s="193"/>
      <c r="O153" s="193"/>
      <c r="P153" s="193"/>
      <c r="Q153" s="191">
        <f t="shared" si="59"/>
        <v>0</v>
      </c>
    </row>
    <row r="154" spans="1:17" ht="15.75" customHeight="1">
      <c r="A154" s="181" t="s">
        <v>614</v>
      </c>
      <c r="B154" s="181" t="s">
        <v>615</v>
      </c>
      <c r="C154" s="193">
        <f>SUM(C155:C158)</f>
        <v>0</v>
      </c>
      <c r="D154" s="193">
        <f>SUM(D155:D158)</f>
        <v>0</v>
      </c>
      <c r="E154" s="193">
        <f t="shared" ref="E154:P154" si="64">SUM(E155:E158)</f>
        <v>0</v>
      </c>
      <c r="F154" s="193">
        <f t="shared" si="64"/>
        <v>0</v>
      </c>
      <c r="G154" s="193">
        <f>SUM(G155:G158)</f>
        <v>0</v>
      </c>
      <c r="H154" s="193">
        <f t="shared" si="64"/>
        <v>0</v>
      </c>
      <c r="I154" s="193">
        <f t="shared" si="64"/>
        <v>0</v>
      </c>
      <c r="J154" s="193">
        <f t="shared" ref="J154" si="65">SUM(J155:J158)</f>
        <v>0</v>
      </c>
      <c r="K154" s="193">
        <f t="shared" si="64"/>
        <v>0</v>
      </c>
      <c r="L154" s="193">
        <f t="shared" si="64"/>
        <v>0</v>
      </c>
      <c r="M154" s="193">
        <f t="shared" si="64"/>
        <v>0</v>
      </c>
      <c r="N154" s="193">
        <f t="shared" si="64"/>
        <v>0</v>
      </c>
      <c r="O154" s="193">
        <f t="shared" si="64"/>
        <v>0</v>
      </c>
      <c r="P154" s="193">
        <f t="shared" si="64"/>
        <v>0</v>
      </c>
      <c r="Q154" s="191">
        <f t="shared" si="59"/>
        <v>0</v>
      </c>
    </row>
    <row r="155" spans="1:17" ht="15.75" customHeight="1">
      <c r="A155" s="184" t="s">
        <v>616</v>
      </c>
      <c r="B155" s="184" t="s">
        <v>620</v>
      </c>
      <c r="C155" s="193"/>
      <c r="D155" s="193"/>
      <c r="E155" s="193"/>
      <c r="F155" s="193"/>
      <c r="G155" s="193"/>
      <c r="H155" s="193"/>
      <c r="I155" s="193"/>
      <c r="J155" s="193"/>
      <c r="K155" s="193"/>
      <c r="L155" s="193"/>
      <c r="M155" s="381"/>
      <c r="N155" s="193"/>
      <c r="O155" s="193"/>
      <c r="P155" s="193"/>
      <c r="Q155" s="191">
        <f t="shared" si="59"/>
        <v>0</v>
      </c>
    </row>
    <row r="156" spans="1:17" ht="15.75" customHeight="1">
      <c r="A156" s="184" t="s">
        <v>617</v>
      </c>
      <c r="B156" s="184" t="s">
        <v>621</v>
      </c>
      <c r="C156" s="193"/>
      <c r="D156" s="193"/>
      <c r="E156" s="193"/>
      <c r="F156" s="193"/>
      <c r="G156" s="193"/>
      <c r="H156" s="193"/>
      <c r="I156" s="193"/>
      <c r="J156" s="193"/>
      <c r="K156" s="193"/>
      <c r="L156" s="193"/>
      <c r="M156" s="381"/>
      <c r="N156" s="193"/>
      <c r="O156" s="193"/>
      <c r="P156" s="193"/>
      <c r="Q156" s="191">
        <f t="shared" si="59"/>
        <v>0</v>
      </c>
    </row>
    <row r="157" spans="1:17" ht="15.75" customHeight="1">
      <c r="A157" s="184" t="s">
        <v>618</v>
      </c>
      <c r="B157" s="184" t="s">
        <v>622</v>
      </c>
      <c r="C157" s="193"/>
      <c r="D157" s="193"/>
      <c r="E157" s="193"/>
      <c r="F157" s="193"/>
      <c r="G157" s="193"/>
      <c r="H157" s="193"/>
      <c r="I157" s="193"/>
      <c r="J157" s="193"/>
      <c r="K157" s="193"/>
      <c r="L157" s="193"/>
      <c r="M157" s="381"/>
      <c r="N157" s="193"/>
      <c r="O157" s="193"/>
      <c r="P157" s="193"/>
      <c r="Q157" s="191">
        <f t="shared" si="59"/>
        <v>0</v>
      </c>
    </row>
    <row r="158" spans="1:17" ht="15.75" customHeight="1">
      <c r="A158" s="184" t="s">
        <v>619</v>
      </c>
      <c r="B158" s="184" t="s">
        <v>623</v>
      </c>
      <c r="C158" s="193"/>
      <c r="D158" s="193"/>
      <c r="E158" s="193"/>
      <c r="F158" s="193"/>
      <c r="G158" s="193"/>
      <c r="H158" s="193"/>
      <c r="I158" s="193"/>
      <c r="J158" s="193"/>
      <c r="K158" s="193"/>
      <c r="L158" s="193"/>
      <c r="M158" s="381"/>
      <c r="N158" s="193"/>
      <c r="O158" s="193"/>
      <c r="P158" s="193"/>
      <c r="Q158" s="191">
        <f t="shared" si="59"/>
        <v>0</v>
      </c>
    </row>
    <row r="159" spans="1:17" ht="15.75" customHeight="1">
      <c r="A159" s="183"/>
      <c r="B159" s="186"/>
      <c r="C159" s="193"/>
      <c r="D159" s="193"/>
      <c r="E159" s="193"/>
      <c r="F159" s="193"/>
      <c r="G159" s="193"/>
      <c r="H159" s="193"/>
      <c r="I159" s="193"/>
      <c r="J159" s="193"/>
      <c r="K159" s="193"/>
      <c r="L159" s="193"/>
      <c r="M159" s="381"/>
      <c r="N159" s="193"/>
      <c r="O159" s="193"/>
      <c r="P159" s="193"/>
      <c r="Q159" s="191">
        <f t="shared" si="59"/>
        <v>0</v>
      </c>
    </row>
    <row r="160" spans="1:17" ht="15.75" customHeight="1">
      <c r="A160" s="181" t="s">
        <v>252</v>
      </c>
      <c r="B160" s="181" t="s">
        <v>253</v>
      </c>
      <c r="C160" s="193">
        <f>SUM(C161:C168)</f>
        <v>2200000</v>
      </c>
      <c r="D160" s="193">
        <f>SUM(D161:D168)</f>
        <v>1400000</v>
      </c>
      <c r="E160" s="193">
        <f t="shared" ref="E160:P160" si="66">SUM(E161:E168)</f>
        <v>0</v>
      </c>
      <c r="F160" s="193">
        <f t="shared" si="66"/>
        <v>0</v>
      </c>
      <c r="G160" s="193">
        <f>SUM(G161:G168)</f>
        <v>3100000</v>
      </c>
      <c r="H160" s="193">
        <f t="shared" si="66"/>
        <v>0</v>
      </c>
      <c r="I160" s="193">
        <f t="shared" si="66"/>
        <v>0</v>
      </c>
      <c r="J160" s="193">
        <f t="shared" ref="J160" si="67">SUM(J161:J168)</f>
        <v>5000000</v>
      </c>
      <c r="K160" s="193">
        <f t="shared" si="66"/>
        <v>0</v>
      </c>
      <c r="L160" s="193">
        <f t="shared" si="66"/>
        <v>0</v>
      </c>
      <c r="M160" s="193">
        <f t="shared" si="66"/>
        <v>300000</v>
      </c>
      <c r="N160" s="193">
        <f t="shared" si="66"/>
        <v>5645051.0600000005</v>
      </c>
      <c r="O160" s="193">
        <f t="shared" si="66"/>
        <v>100000</v>
      </c>
      <c r="P160" s="193">
        <f t="shared" si="66"/>
        <v>0</v>
      </c>
      <c r="Q160" s="191">
        <f t="shared" si="59"/>
        <v>17745051.060000002</v>
      </c>
    </row>
    <row r="161" spans="1:17" ht="15.75" customHeight="1">
      <c r="A161" s="184" t="s">
        <v>624</v>
      </c>
      <c r="B161" s="184" t="s">
        <v>434</v>
      </c>
      <c r="C161" s="193"/>
      <c r="D161" s="193"/>
      <c r="E161" s="193"/>
      <c r="F161" s="193"/>
      <c r="G161" s="193"/>
      <c r="H161" s="193"/>
      <c r="I161" s="193"/>
      <c r="J161" s="193">
        <v>1500000</v>
      </c>
      <c r="K161" s="193"/>
      <c r="L161" s="193">
        <v>0</v>
      </c>
      <c r="M161" s="381">
        <v>150000</v>
      </c>
      <c r="N161" s="193">
        <v>2000000</v>
      </c>
      <c r="O161" s="193">
        <v>100000</v>
      </c>
      <c r="P161" s="193"/>
      <c r="Q161" s="191">
        <f t="shared" si="59"/>
        <v>3750000</v>
      </c>
    </row>
    <row r="162" spans="1:17" ht="15.75" customHeight="1">
      <c r="A162" s="184" t="s">
        <v>625</v>
      </c>
      <c r="B162" s="215" t="s">
        <v>435</v>
      </c>
      <c r="C162" s="193"/>
      <c r="D162" s="193"/>
      <c r="E162" s="193"/>
      <c r="F162" s="193"/>
      <c r="G162" s="193"/>
      <c r="H162" s="193"/>
      <c r="I162" s="193"/>
      <c r="J162" s="193"/>
      <c r="K162" s="193"/>
      <c r="L162" s="193">
        <v>0</v>
      </c>
      <c r="M162" s="381"/>
      <c r="N162" s="193">
        <v>500000</v>
      </c>
      <c r="O162" s="193"/>
      <c r="P162" s="193"/>
      <c r="Q162" s="191">
        <f t="shared" si="59"/>
        <v>500000</v>
      </c>
    </row>
    <row r="163" spans="1:17" ht="15.75" customHeight="1">
      <c r="A163" s="184" t="s">
        <v>626</v>
      </c>
      <c r="B163" s="184" t="s">
        <v>436</v>
      </c>
      <c r="C163" s="193">
        <v>0</v>
      </c>
      <c r="D163" s="193">
        <v>0</v>
      </c>
      <c r="E163" s="193"/>
      <c r="F163" s="193"/>
      <c r="G163" s="193">
        <v>0</v>
      </c>
      <c r="H163" s="193"/>
      <c r="I163" s="193"/>
      <c r="J163" s="193">
        <v>1000000</v>
      </c>
      <c r="K163" s="193"/>
      <c r="L163" s="193">
        <v>0</v>
      </c>
      <c r="M163" s="381">
        <v>150000</v>
      </c>
      <c r="N163" s="193">
        <v>2000000</v>
      </c>
      <c r="O163" s="193">
        <v>0</v>
      </c>
      <c r="P163" s="193"/>
      <c r="Q163" s="191">
        <f t="shared" si="59"/>
        <v>3150000</v>
      </c>
    </row>
    <row r="164" spans="1:17" ht="15.75" customHeight="1">
      <c r="A164" s="184" t="s">
        <v>627</v>
      </c>
      <c r="B164" s="184" t="s">
        <v>437</v>
      </c>
      <c r="C164" s="193">
        <v>600000</v>
      </c>
      <c r="D164" s="812"/>
      <c r="E164" s="193"/>
      <c r="F164" s="193"/>
      <c r="G164" s="812">
        <v>800000</v>
      </c>
      <c r="H164" s="193"/>
      <c r="I164" s="193">
        <v>0</v>
      </c>
      <c r="J164" s="193"/>
      <c r="K164" s="193"/>
      <c r="L164" s="193">
        <v>0</v>
      </c>
      <c r="M164" s="381"/>
      <c r="N164" s="193">
        <f>1000000+145051.06</f>
        <v>1145051.06</v>
      </c>
      <c r="O164" s="193">
        <v>0</v>
      </c>
      <c r="P164" s="193"/>
      <c r="Q164" s="191">
        <f t="shared" si="59"/>
        <v>2545051.06</v>
      </c>
    </row>
    <row r="165" spans="1:17" ht="15.75" customHeight="1">
      <c r="A165" s="184" t="s">
        <v>628</v>
      </c>
      <c r="B165" s="184" t="s">
        <v>438</v>
      </c>
      <c r="C165" s="193">
        <f>800000</f>
        <v>800000</v>
      </c>
      <c r="D165" s="812">
        <v>500000</v>
      </c>
      <c r="E165" s="193"/>
      <c r="F165" s="193"/>
      <c r="G165" s="812">
        <v>1500000</v>
      </c>
      <c r="H165" s="193"/>
      <c r="I165" s="193"/>
      <c r="J165" s="193">
        <v>2500000</v>
      </c>
      <c r="K165" s="193"/>
      <c r="L165" s="193">
        <v>0</v>
      </c>
      <c r="M165" s="381">
        <v>0</v>
      </c>
      <c r="N165" s="193">
        <v>0</v>
      </c>
      <c r="O165" s="193">
        <v>0</v>
      </c>
      <c r="P165" s="193"/>
      <c r="Q165" s="191">
        <f t="shared" si="59"/>
        <v>5300000</v>
      </c>
    </row>
    <row r="166" spans="1:17" ht="15.75" customHeight="1">
      <c r="A166" s="184" t="s">
        <v>629</v>
      </c>
      <c r="B166" s="184" t="s">
        <v>439</v>
      </c>
      <c r="C166" s="193">
        <v>800000</v>
      </c>
      <c r="D166" s="812">
        <v>900000</v>
      </c>
      <c r="E166" s="193"/>
      <c r="F166" s="193"/>
      <c r="G166" s="812">
        <v>800000</v>
      </c>
      <c r="H166" s="193"/>
      <c r="I166" s="193"/>
      <c r="J166" s="193"/>
      <c r="K166" s="193"/>
      <c r="L166" s="193">
        <v>0</v>
      </c>
      <c r="M166" s="381">
        <v>0</v>
      </c>
      <c r="N166" s="193">
        <v>0</v>
      </c>
      <c r="O166" s="193">
        <v>0</v>
      </c>
      <c r="P166" s="193"/>
      <c r="Q166" s="191">
        <f t="shared" si="59"/>
        <v>2500000</v>
      </c>
    </row>
    <row r="167" spans="1:17" ht="15.75" customHeight="1">
      <c r="A167" s="184" t="s">
        <v>630</v>
      </c>
      <c r="B167" s="184" t="s">
        <v>440</v>
      </c>
      <c r="C167" s="193"/>
      <c r="D167" s="193"/>
      <c r="E167" s="193"/>
      <c r="F167" s="193"/>
      <c r="G167" s="193"/>
      <c r="H167" s="193"/>
      <c r="I167" s="193"/>
      <c r="J167" s="193"/>
      <c r="K167" s="193"/>
      <c r="L167" s="193"/>
      <c r="M167" s="381"/>
      <c r="N167" s="193"/>
      <c r="O167" s="193"/>
      <c r="P167" s="193"/>
      <c r="Q167" s="191">
        <f t="shared" si="59"/>
        <v>0</v>
      </c>
    </row>
    <row r="168" spans="1:17" ht="15.75" customHeight="1">
      <c r="A168" s="184" t="s">
        <v>631</v>
      </c>
      <c r="B168" s="184" t="s">
        <v>441</v>
      </c>
      <c r="C168" s="193"/>
      <c r="D168" s="193"/>
      <c r="E168" s="193"/>
      <c r="F168" s="193"/>
      <c r="G168" s="193"/>
      <c r="H168" s="193"/>
      <c r="I168" s="193"/>
      <c r="J168" s="193"/>
      <c r="K168" s="193"/>
      <c r="L168" s="193"/>
      <c r="M168" s="381"/>
      <c r="N168" s="193"/>
      <c r="O168" s="193"/>
      <c r="P168" s="193"/>
      <c r="Q168" s="191">
        <f t="shared" si="59"/>
        <v>0</v>
      </c>
    </row>
    <row r="169" spans="1:17" ht="15.75" customHeight="1">
      <c r="A169" s="183"/>
      <c r="B169" s="186"/>
      <c r="C169" s="193"/>
      <c r="D169" s="193"/>
      <c r="E169" s="193"/>
      <c r="F169" s="193"/>
      <c r="G169" s="193"/>
      <c r="H169" s="193"/>
      <c r="I169" s="193"/>
      <c r="J169" s="193"/>
      <c r="K169" s="193"/>
      <c r="L169" s="193"/>
      <c r="M169" s="381"/>
      <c r="N169" s="193"/>
      <c r="O169" s="193"/>
      <c r="P169" s="193"/>
      <c r="Q169" s="191">
        <f t="shared" si="59"/>
        <v>0</v>
      </c>
    </row>
    <row r="170" spans="1:17" ht="15.75" customHeight="1">
      <c r="A170" s="181">
        <v>3</v>
      </c>
      <c r="B170" s="181" t="s">
        <v>193</v>
      </c>
      <c r="C170" s="193">
        <f>+C171+C177+C187+C191</f>
        <v>0</v>
      </c>
      <c r="D170" s="193">
        <f>+D171+D177+D187+D191</f>
        <v>1379966.36</v>
      </c>
      <c r="E170" s="193">
        <f t="shared" ref="E170:P170" si="68">+E171+E177+E187+E191</f>
        <v>0</v>
      </c>
      <c r="F170" s="193">
        <f t="shared" si="68"/>
        <v>0</v>
      </c>
      <c r="G170" s="193">
        <f>+G171+G177+G187+G191</f>
        <v>0</v>
      </c>
      <c r="H170" s="193">
        <f t="shared" si="68"/>
        <v>0</v>
      </c>
      <c r="I170" s="193">
        <f t="shared" si="68"/>
        <v>0</v>
      </c>
      <c r="J170" s="193">
        <f t="shared" ref="J170" si="69">+J171+J177+J187+J191</f>
        <v>0</v>
      </c>
      <c r="K170" s="193">
        <f t="shared" si="68"/>
        <v>0</v>
      </c>
      <c r="L170" s="193">
        <f t="shared" si="68"/>
        <v>0</v>
      </c>
      <c r="M170" s="193">
        <f t="shared" si="68"/>
        <v>0</v>
      </c>
      <c r="N170" s="193">
        <f t="shared" si="68"/>
        <v>0</v>
      </c>
      <c r="O170" s="193">
        <f t="shared" si="68"/>
        <v>0</v>
      </c>
      <c r="P170" s="193">
        <f t="shared" si="68"/>
        <v>0</v>
      </c>
      <c r="Q170" s="191">
        <f t="shared" si="59"/>
        <v>1379966.36</v>
      </c>
    </row>
    <row r="171" spans="1:17" ht="15.75" customHeight="1">
      <c r="A171" s="181" t="s">
        <v>254</v>
      </c>
      <c r="B171" s="181" t="s">
        <v>255</v>
      </c>
      <c r="C171" s="193">
        <f>SUM(C172:C175)</f>
        <v>0</v>
      </c>
      <c r="D171" s="193">
        <f>SUM(D172:D175)</f>
        <v>0</v>
      </c>
      <c r="E171" s="193">
        <f t="shared" ref="E171:P171" si="70">SUM(E172:E175)</f>
        <v>0</v>
      </c>
      <c r="F171" s="193">
        <f t="shared" si="70"/>
        <v>0</v>
      </c>
      <c r="G171" s="193">
        <f>SUM(G172:G175)</f>
        <v>0</v>
      </c>
      <c r="H171" s="193">
        <f t="shared" si="70"/>
        <v>0</v>
      </c>
      <c r="I171" s="193">
        <f t="shared" si="70"/>
        <v>0</v>
      </c>
      <c r="J171" s="193">
        <f t="shared" ref="J171" si="71">SUM(J172:J175)</f>
        <v>0</v>
      </c>
      <c r="K171" s="193">
        <f t="shared" si="70"/>
        <v>0</v>
      </c>
      <c r="L171" s="193">
        <f t="shared" si="70"/>
        <v>0</v>
      </c>
      <c r="M171" s="193">
        <f t="shared" si="70"/>
        <v>0</v>
      </c>
      <c r="N171" s="193">
        <f t="shared" si="70"/>
        <v>0</v>
      </c>
      <c r="O171" s="193">
        <f t="shared" si="70"/>
        <v>0</v>
      </c>
      <c r="P171" s="193">
        <f t="shared" si="70"/>
        <v>0</v>
      </c>
      <c r="Q171" s="191">
        <f t="shared" si="59"/>
        <v>0</v>
      </c>
    </row>
    <row r="172" spans="1:17" ht="15.75" customHeight="1">
      <c r="A172" s="184" t="s">
        <v>632</v>
      </c>
      <c r="B172" s="184" t="s">
        <v>636</v>
      </c>
      <c r="C172" s="193"/>
      <c r="D172" s="193"/>
      <c r="E172" s="193"/>
      <c r="F172" s="193"/>
      <c r="G172" s="193"/>
      <c r="H172" s="193"/>
      <c r="I172" s="193"/>
      <c r="J172" s="193"/>
      <c r="K172" s="193"/>
      <c r="L172" s="193"/>
      <c r="M172" s="193"/>
      <c r="N172" s="193"/>
      <c r="O172" s="193"/>
      <c r="P172" s="193"/>
      <c r="Q172" s="191">
        <f t="shared" si="59"/>
        <v>0</v>
      </c>
    </row>
    <row r="173" spans="1:17" ht="15.75" customHeight="1">
      <c r="A173" s="184" t="s">
        <v>633</v>
      </c>
      <c r="B173" s="184" t="s">
        <v>637</v>
      </c>
      <c r="C173" s="193"/>
      <c r="D173" s="193"/>
      <c r="E173" s="193"/>
      <c r="F173" s="193"/>
      <c r="G173" s="193"/>
      <c r="H173" s="193"/>
      <c r="I173" s="193"/>
      <c r="J173" s="193"/>
      <c r="K173" s="193"/>
      <c r="L173" s="193"/>
      <c r="M173" s="193"/>
      <c r="N173" s="193"/>
      <c r="O173" s="193"/>
      <c r="P173" s="193"/>
      <c r="Q173" s="191">
        <f t="shared" si="59"/>
        <v>0</v>
      </c>
    </row>
    <row r="174" spans="1:17" ht="15.75" customHeight="1">
      <c r="A174" s="184" t="s">
        <v>634</v>
      </c>
      <c r="B174" s="184" t="s">
        <v>638</v>
      </c>
      <c r="C174" s="193"/>
      <c r="D174" s="193"/>
      <c r="E174" s="193"/>
      <c r="F174" s="193"/>
      <c r="G174" s="193"/>
      <c r="H174" s="193"/>
      <c r="I174" s="193"/>
      <c r="J174" s="193"/>
      <c r="K174" s="193"/>
      <c r="L174" s="193"/>
      <c r="M174" s="193"/>
      <c r="N174" s="193"/>
      <c r="O174" s="193"/>
      <c r="P174" s="193"/>
      <c r="Q174" s="191">
        <f t="shared" si="59"/>
        <v>0</v>
      </c>
    </row>
    <row r="175" spans="1:17" ht="15.75" customHeight="1">
      <c r="A175" s="184" t="s">
        <v>635</v>
      </c>
      <c r="B175" s="184" t="s">
        <v>639</v>
      </c>
      <c r="C175" s="193"/>
      <c r="D175" s="193"/>
      <c r="E175" s="193"/>
      <c r="F175" s="193"/>
      <c r="G175" s="193"/>
      <c r="H175" s="193"/>
      <c r="I175" s="193"/>
      <c r="J175" s="193"/>
      <c r="K175" s="193"/>
      <c r="L175" s="193"/>
      <c r="M175" s="193"/>
      <c r="N175" s="193"/>
      <c r="O175" s="193"/>
      <c r="P175" s="193"/>
      <c r="Q175" s="191">
        <f t="shared" si="59"/>
        <v>0</v>
      </c>
    </row>
    <row r="176" spans="1:17" ht="15.75" customHeight="1">
      <c r="A176" s="184"/>
      <c r="B176" s="184"/>
      <c r="C176" s="193"/>
      <c r="D176" s="193"/>
      <c r="E176" s="193"/>
      <c r="F176" s="193"/>
      <c r="G176" s="193"/>
      <c r="H176" s="193"/>
      <c r="I176" s="193"/>
      <c r="J176" s="193"/>
      <c r="K176" s="193"/>
      <c r="L176" s="193"/>
      <c r="M176" s="193"/>
      <c r="N176" s="193"/>
      <c r="O176" s="193"/>
      <c r="P176" s="193"/>
      <c r="Q176" s="191">
        <f t="shared" si="59"/>
        <v>0</v>
      </c>
    </row>
    <row r="177" spans="1:17" ht="15.75" customHeight="1">
      <c r="A177" s="181" t="s">
        <v>256</v>
      </c>
      <c r="B177" s="181" t="s">
        <v>257</v>
      </c>
      <c r="C177" s="193">
        <f>SUM(C178:C185)</f>
        <v>0</v>
      </c>
      <c r="D177" s="193">
        <f>SUM(D178:D185)</f>
        <v>1379966.36</v>
      </c>
      <c r="E177" s="193">
        <f t="shared" ref="E177:P177" si="72">SUM(E178:E185)</f>
        <v>0</v>
      </c>
      <c r="F177" s="193">
        <f t="shared" si="72"/>
        <v>0</v>
      </c>
      <c r="G177" s="193">
        <f>SUM(G178:G185)</f>
        <v>0</v>
      </c>
      <c r="H177" s="193">
        <f t="shared" si="72"/>
        <v>0</v>
      </c>
      <c r="I177" s="193">
        <f t="shared" si="72"/>
        <v>0</v>
      </c>
      <c r="J177" s="193">
        <f t="shared" ref="J177" si="73">SUM(J178:J185)</f>
        <v>0</v>
      </c>
      <c r="K177" s="193">
        <f t="shared" si="72"/>
        <v>0</v>
      </c>
      <c r="L177" s="193">
        <f t="shared" si="72"/>
        <v>0</v>
      </c>
      <c r="M177" s="193">
        <f t="shared" si="72"/>
        <v>0</v>
      </c>
      <c r="N177" s="193">
        <f t="shared" si="72"/>
        <v>0</v>
      </c>
      <c r="O177" s="193">
        <f t="shared" si="72"/>
        <v>0</v>
      </c>
      <c r="P177" s="193">
        <f t="shared" si="72"/>
        <v>0</v>
      </c>
      <c r="Q177" s="191">
        <f t="shared" si="59"/>
        <v>1379966.36</v>
      </c>
    </row>
    <row r="178" spans="1:17" ht="15.75" customHeight="1">
      <c r="A178" s="184" t="s">
        <v>640</v>
      </c>
      <c r="B178" s="184" t="s">
        <v>648</v>
      </c>
      <c r="C178" s="193"/>
      <c r="D178" s="193"/>
      <c r="E178" s="193"/>
      <c r="F178" s="193"/>
      <c r="G178" s="193"/>
      <c r="H178" s="193"/>
      <c r="I178" s="193"/>
      <c r="J178" s="193"/>
      <c r="K178" s="193"/>
      <c r="L178" s="193"/>
      <c r="M178" s="193"/>
      <c r="N178" s="193"/>
      <c r="O178" s="193"/>
      <c r="P178" s="193"/>
      <c r="Q178" s="191">
        <f t="shared" si="59"/>
        <v>0</v>
      </c>
    </row>
    <row r="179" spans="1:17" ht="15.75" customHeight="1">
      <c r="A179" s="184" t="s">
        <v>641</v>
      </c>
      <c r="B179" s="184" t="s">
        <v>649</v>
      </c>
      <c r="C179" s="193"/>
      <c r="D179" s="193"/>
      <c r="E179" s="193"/>
      <c r="F179" s="193"/>
      <c r="G179" s="193"/>
      <c r="H179" s="193"/>
      <c r="I179" s="193"/>
      <c r="J179" s="193"/>
      <c r="K179" s="193"/>
      <c r="L179" s="193"/>
      <c r="M179" s="193"/>
      <c r="N179" s="193"/>
      <c r="O179" s="193"/>
      <c r="P179" s="193"/>
      <c r="Q179" s="191">
        <f t="shared" si="59"/>
        <v>0</v>
      </c>
    </row>
    <row r="180" spans="1:17" ht="15.75" customHeight="1">
      <c r="A180" s="184" t="s">
        <v>642</v>
      </c>
      <c r="B180" s="184" t="s">
        <v>650</v>
      </c>
      <c r="C180" s="193"/>
      <c r="D180" s="193"/>
      <c r="E180" s="193"/>
      <c r="F180" s="193"/>
      <c r="G180" s="193"/>
      <c r="H180" s="193"/>
      <c r="I180" s="193"/>
      <c r="J180" s="193"/>
      <c r="K180" s="193"/>
      <c r="L180" s="193"/>
      <c r="M180" s="193"/>
      <c r="N180" s="193"/>
      <c r="O180" s="193"/>
      <c r="P180" s="193"/>
      <c r="Q180" s="191">
        <f t="shared" si="59"/>
        <v>0</v>
      </c>
    </row>
    <row r="181" spans="1:17" ht="15.75" customHeight="1">
      <c r="A181" s="184" t="s">
        <v>643</v>
      </c>
      <c r="B181" s="184" t="s">
        <v>651</v>
      </c>
      <c r="C181" s="193"/>
      <c r="D181" s="193"/>
      <c r="E181" s="193"/>
      <c r="F181" s="193"/>
      <c r="G181" s="193"/>
      <c r="H181" s="193"/>
      <c r="I181" s="193"/>
      <c r="J181" s="193"/>
      <c r="K181" s="193"/>
      <c r="L181" s="193"/>
      <c r="M181" s="193"/>
      <c r="N181" s="193"/>
      <c r="O181" s="193"/>
      <c r="P181" s="193"/>
      <c r="Q181" s="191">
        <f t="shared" si="59"/>
        <v>0</v>
      </c>
    </row>
    <row r="182" spans="1:17" ht="15.75" customHeight="1">
      <c r="A182" s="184" t="s">
        <v>644</v>
      </c>
      <c r="B182" s="184" t="s">
        <v>653</v>
      </c>
      <c r="C182" s="193"/>
      <c r="D182" s="812">
        <v>0</v>
      </c>
      <c r="E182" s="193"/>
      <c r="F182" s="193"/>
      <c r="G182" s="193"/>
      <c r="H182" s="193"/>
      <c r="I182" s="193"/>
      <c r="J182" s="193"/>
      <c r="K182" s="193"/>
      <c r="L182" s="193"/>
      <c r="M182" s="193"/>
      <c r="N182" s="193"/>
      <c r="O182" s="193"/>
      <c r="P182" s="193"/>
      <c r="Q182" s="191">
        <f t="shared" si="59"/>
        <v>0</v>
      </c>
    </row>
    <row r="183" spans="1:17" ht="15.75" customHeight="1">
      <c r="A183" s="184" t="s">
        <v>645</v>
      </c>
      <c r="B183" s="184" t="s">
        <v>652</v>
      </c>
      <c r="C183" s="193"/>
      <c r="D183" s="193">
        <f>+'[8]Deuda Interna'!C11</f>
        <v>1379966.36</v>
      </c>
      <c r="E183" s="193"/>
      <c r="F183" s="193"/>
      <c r="G183" s="193"/>
      <c r="H183" s="193"/>
      <c r="I183" s="193"/>
      <c r="J183" s="193"/>
      <c r="K183" s="193"/>
      <c r="L183" s="193"/>
      <c r="M183" s="193"/>
      <c r="N183" s="193"/>
      <c r="O183" s="193"/>
      <c r="P183" s="193"/>
      <c r="Q183" s="191">
        <f t="shared" si="59"/>
        <v>1379966.36</v>
      </c>
    </row>
    <row r="184" spans="1:17" ht="15.75" customHeight="1">
      <c r="A184" s="184" t="s">
        <v>646</v>
      </c>
      <c r="B184" s="184" t="s">
        <v>654</v>
      </c>
      <c r="C184" s="193"/>
      <c r="D184" s="193"/>
      <c r="E184" s="193"/>
      <c r="F184" s="193"/>
      <c r="G184" s="193"/>
      <c r="H184" s="193"/>
      <c r="I184" s="193"/>
      <c r="J184" s="193"/>
      <c r="K184" s="193"/>
      <c r="L184" s="193"/>
      <c r="M184" s="193"/>
      <c r="N184" s="193"/>
      <c r="O184" s="193"/>
      <c r="P184" s="193"/>
      <c r="Q184" s="191">
        <f t="shared" si="59"/>
        <v>0</v>
      </c>
    </row>
    <row r="185" spans="1:17" ht="15.75" customHeight="1">
      <c r="A185" s="184" t="s">
        <v>647</v>
      </c>
      <c r="B185" s="184" t="s">
        <v>658</v>
      </c>
      <c r="C185" s="193"/>
      <c r="D185" s="193"/>
      <c r="E185" s="193"/>
      <c r="F185" s="193"/>
      <c r="G185" s="193"/>
      <c r="H185" s="193"/>
      <c r="I185" s="193"/>
      <c r="J185" s="193"/>
      <c r="K185" s="193"/>
      <c r="L185" s="193"/>
      <c r="M185" s="193"/>
      <c r="N185" s="193"/>
      <c r="O185" s="193"/>
      <c r="P185" s="193"/>
      <c r="Q185" s="191">
        <f t="shared" si="59"/>
        <v>0</v>
      </c>
    </row>
    <row r="186" spans="1:17" ht="15.75" customHeight="1">
      <c r="A186" s="184"/>
      <c r="B186" s="186"/>
      <c r="C186" s="193"/>
      <c r="D186" s="193"/>
      <c r="E186" s="193"/>
      <c r="F186" s="193"/>
      <c r="G186" s="193"/>
      <c r="H186" s="193"/>
      <c r="I186" s="193"/>
      <c r="J186" s="193"/>
      <c r="K186" s="193"/>
      <c r="L186" s="193"/>
      <c r="M186" s="193"/>
      <c r="N186" s="193"/>
      <c r="O186" s="193"/>
      <c r="P186" s="193"/>
      <c r="Q186" s="191">
        <f t="shared" si="59"/>
        <v>0</v>
      </c>
    </row>
    <row r="187" spans="1:17" ht="15.75" customHeight="1">
      <c r="A187" s="181" t="s">
        <v>659</v>
      </c>
      <c r="B187" s="181" t="s">
        <v>660</v>
      </c>
      <c r="C187" s="193">
        <f>SUM(C188:C189)</f>
        <v>0</v>
      </c>
      <c r="D187" s="193">
        <f>SUM(D188:D189)</f>
        <v>0</v>
      </c>
      <c r="E187" s="193">
        <f t="shared" ref="E187:P187" si="74">SUM(E188:E189)</f>
        <v>0</v>
      </c>
      <c r="F187" s="193">
        <f t="shared" si="74"/>
        <v>0</v>
      </c>
      <c r="G187" s="193">
        <f>SUM(G188:G189)</f>
        <v>0</v>
      </c>
      <c r="H187" s="193">
        <f t="shared" si="74"/>
        <v>0</v>
      </c>
      <c r="I187" s="193">
        <f t="shared" si="74"/>
        <v>0</v>
      </c>
      <c r="J187" s="193">
        <f t="shared" ref="J187" si="75">SUM(J188:J189)</f>
        <v>0</v>
      </c>
      <c r="K187" s="193">
        <f t="shared" si="74"/>
        <v>0</v>
      </c>
      <c r="L187" s="193">
        <f t="shared" si="74"/>
        <v>0</v>
      </c>
      <c r="M187" s="193">
        <f t="shared" si="74"/>
        <v>0</v>
      </c>
      <c r="N187" s="193">
        <f t="shared" si="74"/>
        <v>0</v>
      </c>
      <c r="O187" s="193">
        <f t="shared" si="74"/>
        <v>0</v>
      </c>
      <c r="P187" s="193">
        <f t="shared" si="74"/>
        <v>0</v>
      </c>
      <c r="Q187" s="191">
        <f t="shared" si="59"/>
        <v>0</v>
      </c>
    </row>
    <row r="188" spans="1:17" ht="15.75" customHeight="1">
      <c r="A188" s="184" t="s">
        <v>663</v>
      </c>
      <c r="B188" s="184" t="s">
        <v>661</v>
      </c>
      <c r="C188" s="193"/>
      <c r="D188" s="193"/>
      <c r="E188" s="193"/>
      <c r="F188" s="193"/>
      <c r="G188" s="193"/>
      <c r="H188" s="193"/>
      <c r="I188" s="193"/>
      <c r="J188" s="193"/>
      <c r="K188" s="193"/>
      <c r="L188" s="193"/>
      <c r="M188" s="193"/>
      <c r="N188" s="193"/>
      <c r="O188" s="193"/>
      <c r="P188" s="193"/>
      <c r="Q188" s="191">
        <f t="shared" si="59"/>
        <v>0</v>
      </c>
    </row>
    <row r="189" spans="1:17" ht="15.75" customHeight="1">
      <c r="A189" s="184" t="s">
        <v>664</v>
      </c>
      <c r="B189" s="184" t="s">
        <v>662</v>
      </c>
      <c r="C189" s="193"/>
      <c r="D189" s="193"/>
      <c r="E189" s="193"/>
      <c r="F189" s="193"/>
      <c r="G189" s="193"/>
      <c r="H189" s="193"/>
      <c r="I189" s="193"/>
      <c r="J189" s="193"/>
      <c r="K189" s="193"/>
      <c r="L189" s="193"/>
      <c r="M189" s="193"/>
      <c r="N189" s="193"/>
      <c r="O189" s="193"/>
      <c r="P189" s="193"/>
      <c r="Q189" s="191">
        <f t="shared" si="59"/>
        <v>0</v>
      </c>
    </row>
    <row r="190" spans="1:17" ht="15.75" customHeight="1">
      <c r="A190" s="183"/>
      <c r="B190" s="186"/>
      <c r="C190" s="193"/>
      <c r="D190" s="193"/>
      <c r="E190" s="193"/>
      <c r="F190" s="193"/>
      <c r="G190" s="193"/>
      <c r="H190" s="193"/>
      <c r="I190" s="193"/>
      <c r="J190" s="193"/>
      <c r="K190" s="193"/>
      <c r="L190" s="193"/>
      <c r="M190" s="193"/>
      <c r="N190" s="193"/>
      <c r="O190" s="193"/>
      <c r="P190" s="193"/>
      <c r="Q190" s="191">
        <f t="shared" si="59"/>
        <v>0</v>
      </c>
    </row>
    <row r="191" spans="1:17" ht="15.75" customHeight="1">
      <c r="A191" s="181" t="s">
        <v>258</v>
      </c>
      <c r="B191" s="181" t="s">
        <v>259</v>
      </c>
      <c r="C191" s="193">
        <f>SUM(C192:C196)</f>
        <v>0</v>
      </c>
      <c r="D191" s="193">
        <f>SUM(D192:D196)</f>
        <v>0</v>
      </c>
      <c r="E191" s="193">
        <f t="shared" ref="E191:P191" si="76">SUM(E192:E196)</f>
        <v>0</v>
      </c>
      <c r="F191" s="193">
        <f t="shared" si="76"/>
        <v>0</v>
      </c>
      <c r="G191" s="193">
        <f>SUM(G192:G196)</f>
        <v>0</v>
      </c>
      <c r="H191" s="193">
        <f t="shared" si="76"/>
        <v>0</v>
      </c>
      <c r="I191" s="193">
        <f t="shared" si="76"/>
        <v>0</v>
      </c>
      <c r="J191" s="193">
        <f t="shared" ref="J191" si="77">SUM(J192:J196)</f>
        <v>0</v>
      </c>
      <c r="K191" s="193">
        <f t="shared" si="76"/>
        <v>0</v>
      </c>
      <c r="L191" s="193">
        <f t="shared" si="76"/>
        <v>0</v>
      </c>
      <c r="M191" s="193">
        <f t="shared" si="76"/>
        <v>0</v>
      </c>
      <c r="N191" s="193">
        <f t="shared" si="76"/>
        <v>0</v>
      </c>
      <c r="O191" s="193">
        <f t="shared" si="76"/>
        <v>0</v>
      </c>
      <c r="P191" s="193">
        <f t="shared" si="76"/>
        <v>0</v>
      </c>
      <c r="Q191" s="191">
        <f t="shared" si="59"/>
        <v>0</v>
      </c>
    </row>
    <row r="192" spans="1:17" ht="15.75" customHeight="1">
      <c r="A192" s="184" t="s">
        <v>665</v>
      </c>
      <c r="B192" s="184" t="s">
        <v>671</v>
      </c>
      <c r="C192" s="193"/>
      <c r="D192" s="193"/>
      <c r="E192" s="193"/>
      <c r="F192" s="193"/>
      <c r="G192" s="193"/>
      <c r="H192" s="193"/>
      <c r="I192" s="193"/>
      <c r="J192" s="193"/>
      <c r="K192" s="193"/>
      <c r="L192" s="193"/>
      <c r="M192" s="193"/>
      <c r="N192" s="193"/>
      <c r="O192" s="193"/>
      <c r="P192" s="193"/>
      <c r="Q192" s="191">
        <f t="shared" si="59"/>
        <v>0</v>
      </c>
    </row>
    <row r="193" spans="1:17" ht="15.75" customHeight="1">
      <c r="A193" s="184" t="s">
        <v>666</v>
      </c>
      <c r="B193" s="184" t="s">
        <v>672</v>
      </c>
      <c r="C193" s="193"/>
      <c r="D193" s="193"/>
      <c r="E193" s="193"/>
      <c r="F193" s="193"/>
      <c r="G193" s="193"/>
      <c r="H193" s="193"/>
      <c r="I193" s="193"/>
      <c r="J193" s="193"/>
      <c r="K193" s="193"/>
      <c r="L193" s="193"/>
      <c r="M193" s="193"/>
      <c r="N193" s="193"/>
      <c r="O193" s="193"/>
      <c r="P193" s="193"/>
      <c r="Q193" s="191">
        <f t="shared" si="59"/>
        <v>0</v>
      </c>
    </row>
    <row r="194" spans="1:17" ht="15.75" customHeight="1">
      <c r="A194" s="184" t="s">
        <v>668</v>
      </c>
      <c r="B194" s="184" t="s">
        <v>673</v>
      </c>
      <c r="C194" s="193"/>
      <c r="D194" s="193"/>
      <c r="E194" s="193"/>
      <c r="F194" s="193"/>
      <c r="G194" s="193"/>
      <c r="H194" s="193"/>
      <c r="I194" s="193"/>
      <c r="J194" s="193"/>
      <c r="K194" s="193"/>
      <c r="L194" s="193"/>
      <c r="M194" s="193"/>
      <c r="N194" s="193"/>
      <c r="O194" s="193"/>
      <c r="P194" s="193"/>
      <c r="Q194" s="191">
        <f t="shared" si="59"/>
        <v>0</v>
      </c>
    </row>
    <row r="195" spans="1:17" ht="15.75" customHeight="1">
      <c r="A195" s="184" t="s">
        <v>669</v>
      </c>
      <c r="B195" s="184" t="s">
        <v>674</v>
      </c>
      <c r="C195" s="193"/>
      <c r="D195" s="193"/>
      <c r="E195" s="193"/>
      <c r="F195" s="193"/>
      <c r="G195" s="193"/>
      <c r="H195" s="193"/>
      <c r="I195" s="193"/>
      <c r="J195" s="193"/>
      <c r="K195" s="193"/>
      <c r="L195" s="193"/>
      <c r="M195" s="193"/>
      <c r="N195" s="193"/>
      <c r="O195" s="193"/>
      <c r="P195" s="193"/>
      <c r="Q195" s="191">
        <f t="shared" si="59"/>
        <v>0</v>
      </c>
    </row>
    <row r="196" spans="1:17" ht="15.75" customHeight="1">
      <c r="A196" s="184" t="s">
        <v>670</v>
      </c>
      <c r="B196" s="184" t="s">
        <v>687</v>
      </c>
      <c r="C196" s="193"/>
      <c r="D196" s="193"/>
      <c r="E196" s="193"/>
      <c r="F196" s="193"/>
      <c r="G196" s="193"/>
      <c r="H196" s="193"/>
      <c r="I196" s="193"/>
      <c r="J196" s="193"/>
      <c r="K196" s="193"/>
      <c r="L196" s="193"/>
      <c r="M196" s="193"/>
      <c r="N196" s="193"/>
      <c r="O196" s="193"/>
      <c r="P196" s="193"/>
      <c r="Q196" s="191">
        <f t="shared" si="59"/>
        <v>0</v>
      </c>
    </row>
    <row r="197" spans="1:17" ht="15.75" customHeight="1">
      <c r="A197" s="183"/>
      <c r="B197" s="186"/>
      <c r="C197" s="193"/>
      <c r="D197" s="193"/>
      <c r="E197" s="193"/>
      <c r="F197" s="193"/>
      <c r="G197" s="193"/>
      <c r="H197" s="193"/>
      <c r="I197" s="193"/>
      <c r="J197" s="193"/>
      <c r="K197" s="193"/>
      <c r="L197" s="193"/>
      <c r="M197" s="381"/>
      <c r="N197" s="193"/>
      <c r="O197" s="193"/>
      <c r="P197" s="193"/>
      <c r="Q197" s="191">
        <f t="shared" si="59"/>
        <v>0</v>
      </c>
    </row>
    <row r="198" spans="1:17" ht="15.75" customHeight="1">
      <c r="A198" s="181">
        <v>4</v>
      </c>
      <c r="B198" s="181" t="s">
        <v>194</v>
      </c>
      <c r="C198" s="193">
        <f>+C199+C209+C219</f>
        <v>0</v>
      </c>
      <c r="D198" s="193">
        <f>+D199+D209+D219</f>
        <v>0</v>
      </c>
      <c r="E198" s="193">
        <f t="shared" ref="E198:P198" si="78">+E199+E209+E219</f>
        <v>0</v>
      </c>
      <c r="F198" s="193">
        <f t="shared" si="78"/>
        <v>0</v>
      </c>
      <c r="G198" s="193">
        <f>+G199+G209+G219</f>
        <v>0</v>
      </c>
      <c r="H198" s="193">
        <f t="shared" si="78"/>
        <v>0</v>
      </c>
      <c r="I198" s="193">
        <f t="shared" si="78"/>
        <v>0</v>
      </c>
      <c r="J198" s="193">
        <f t="shared" ref="J198" si="79">+J199+J209+J219</f>
        <v>0</v>
      </c>
      <c r="K198" s="193">
        <f t="shared" si="78"/>
        <v>0</v>
      </c>
      <c r="L198" s="193">
        <f t="shared" si="78"/>
        <v>0</v>
      </c>
      <c r="M198" s="193">
        <f t="shared" si="78"/>
        <v>0</v>
      </c>
      <c r="N198" s="193">
        <f t="shared" si="78"/>
        <v>0</v>
      </c>
      <c r="O198" s="193">
        <f t="shared" si="78"/>
        <v>0</v>
      </c>
      <c r="P198" s="193">
        <f t="shared" si="78"/>
        <v>0</v>
      </c>
      <c r="Q198" s="191">
        <f t="shared" si="59"/>
        <v>0</v>
      </c>
    </row>
    <row r="199" spans="1:17" ht="15.75" customHeight="1">
      <c r="A199" s="181" t="s">
        <v>260</v>
      </c>
      <c r="B199" s="181" t="s">
        <v>261</v>
      </c>
      <c r="C199" s="193">
        <f>SUM(C200:C207)</f>
        <v>0</v>
      </c>
      <c r="D199" s="193">
        <f>SUM(D200:D207)</f>
        <v>0</v>
      </c>
      <c r="E199" s="193">
        <f t="shared" ref="E199:P199" si="80">SUM(E200:E207)</f>
        <v>0</v>
      </c>
      <c r="F199" s="193">
        <f t="shared" si="80"/>
        <v>0</v>
      </c>
      <c r="G199" s="193">
        <f>SUM(G200:G207)</f>
        <v>0</v>
      </c>
      <c r="H199" s="193">
        <f t="shared" si="80"/>
        <v>0</v>
      </c>
      <c r="I199" s="193">
        <f t="shared" si="80"/>
        <v>0</v>
      </c>
      <c r="J199" s="193">
        <f t="shared" ref="J199" si="81">SUM(J200:J207)</f>
        <v>0</v>
      </c>
      <c r="K199" s="193">
        <f t="shared" si="80"/>
        <v>0</v>
      </c>
      <c r="L199" s="193">
        <f t="shared" si="80"/>
        <v>0</v>
      </c>
      <c r="M199" s="193">
        <f t="shared" si="80"/>
        <v>0</v>
      </c>
      <c r="N199" s="193">
        <f t="shared" si="80"/>
        <v>0</v>
      </c>
      <c r="O199" s="193">
        <f t="shared" si="80"/>
        <v>0</v>
      </c>
      <c r="P199" s="193">
        <f t="shared" si="80"/>
        <v>0</v>
      </c>
      <c r="Q199" s="191">
        <f t="shared" si="59"/>
        <v>0</v>
      </c>
    </row>
    <row r="200" spans="1:17" ht="15.75" customHeight="1">
      <c r="A200" s="184" t="s">
        <v>688</v>
      </c>
      <c r="B200" s="184" t="s">
        <v>696</v>
      </c>
      <c r="C200" s="193"/>
      <c r="D200" s="193"/>
      <c r="E200" s="193"/>
      <c r="F200" s="193"/>
      <c r="G200" s="193"/>
      <c r="H200" s="193"/>
      <c r="I200" s="193"/>
      <c r="J200" s="193"/>
      <c r="K200" s="193"/>
      <c r="L200" s="193"/>
      <c r="M200" s="193"/>
      <c r="N200" s="193"/>
      <c r="O200" s="193"/>
      <c r="P200" s="193"/>
      <c r="Q200" s="191">
        <f t="shared" si="59"/>
        <v>0</v>
      </c>
    </row>
    <row r="201" spans="1:17" ht="15.75" customHeight="1">
      <c r="A201" s="184" t="s">
        <v>689</v>
      </c>
      <c r="B201" s="184" t="s">
        <v>697</v>
      </c>
      <c r="C201" s="193"/>
      <c r="D201" s="193"/>
      <c r="E201" s="193"/>
      <c r="F201" s="193"/>
      <c r="G201" s="193"/>
      <c r="H201" s="193"/>
      <c r="I201" s="193"/>
      <c r="J201" s="193"/>
      <c r="K201" s="193"/>
      <c r="L201" s="193"/>
      <c r="M201" s="193"/>
      <c r="N201" s="193"/>
      <c r="O201" s="193"/>
      <c r="P201" s="193"/>
      <c r="Q201" s="191">
        <f t="shared" si="59"/>
        <v>0</v>
      </c>
    </row>
    <row r="202" spans="1:17" ht="15.75" customHeight="1">
      <c r="A202" s="184" t="s">
        <v>690</v>
      </c>
      <c r="B202" s="184" t="s">
        <v>698</v>
      </c>
      <c r="C202" s="193"/>
      <c r="D202" s="193"/>
      <c r="E202" s="193"/>
      <c r="F202" s="193"/>
      <c r="G202" s="193"/>
      <c r="H202" s="193"/>
      <c r="I202" s="193"/>
      <c r="J202" s="193"/>
      <c r="K202" s="193"/>
      <c r="L202" s="193"/>
      <c r="M202" s="193"/>
      <c r="N202" s="193"/>
      <c r="O202" s="193"/>
      <c r="P202" s="193"/>
      <c r="Q202" s="191">
        <f t="shared" ref="Q202:Q265" si="82">SUM(C202:P202)</f>
        <v>0</v>
      </c>
    </row>
    <row r="203" spans="1:17" ht="15.75" customHeight="1">
      <c r="A203" s="184" t="s">
        <v>691</v>
      </c>
      <c r="B203" s="184" t="s">
        <v>699</v>
      </c>
      <c r="C203" s="193"/>
      <c r="D203" s="193"/>
      <c r="E203" s="193"/>
      <c r="F203" s="193"/>
      <c r="G203" s="193"/>
      <c r="H203" s="193"/>
      <c r="I203" s="193"/>
      <c r="J203" s="193"/>
      <c r="K203" s="193"/>
      <c r="L203" s="193"/>
      <c r="M203" s="193"/>
      <c r="N203" s="193"/>
      <c r="O203" s="193"/>
      <c r="P203" s="193"/>
      <c r="Q203" s="191">
        <f t="shared" si="82"/>
        <v>0</v>
      </c>
    </row>
    <row r="204" spans="1:17" ht="15.75" customHeight="1">
      <c r="A204" s="184" t="s">
        <v>692</v>
      </c>
      <c r="B204" s="184" t="s">
        <v>700</v>
      </c>
      <c r="C204" s="193"/>
      <c r="D204" s="193"/>
      <c r="E204" s="193"/>
      <c r="F204" s="193"/>
      <c r="G204" s="193"/>
      <c r="H204" s="193"/>
      <c r="I204" s="193"/>
      <c r="J204" s="193"/>
      <c r="K204" s="193"/>
      <c r="L204" s="193"/>
      <c r="M204" s="193"/>
      <c r="N204" s="193"/>
      <c r="O204" s="193"/>
      <c r="P204" s="193"/>
      <c r="Q204" s="191">
        <f t="shared" si="82"/>
        <v>0</v>
      </c>
    </row>
    <row r="205" spans="1:17" ht="15.75" customHeight="1">
      <c r="A205" s="184" t="s">
        <v>693</v>
      </c>
      <c r="B205" s="184" t="s">
        <v>701</v>
      </c>
      <c r="C205" s="193"/>
      <c r="D205" s="193"/>
      <c r="E205" s="193"/>
      <c r="F205" s="193"/>
      <c r="G205" s="193"/>
      <c r="H205" s="193"/>
      <c r="I205" s="193"/>
      <c r="J205" s="193"/>
      <c r="K205" s="193"/>
      <c r="L205" s="193"/>
      <c r="M205" s="193"/>
      <c r="N205" s="193"/>
      <c r="O205" s="193"/>
      <c r="P205" s="193"/>
      <c r="Q205" s="191">
        <f t="shared" si="82"/>
        <v>0</v>
      </c>
    </row>
    <row r="206" spans="1:17" ht="15.75" customHeight="1">
      <c r="A206" s="184" t="s">
        <v>694</v>
      </c>
      <c r="B206" s="184" t="s">
        <v>702</v>
      </c>
      <c r="C206" s="193"/>
      <c r="D206" s="193"/>
      <c r="E206" s="193"/>
      <c r="F206" s="193"/>
      <c r="G206" s="193"/>
      <c r="H206" s="193"/>
      <c r="I206" s="193"/>
      <c r="J206" s="193"/>
      <c r="K206" s="193"/>
      <c r="L206" s="193"/>
      <c r="M206" s="193"/>
      <c r="N206" s="193"/>
      <c r="O206" s="193"/>
      <c r="P206" s="193"/>
      <c r="Q206" s="191">
        <f t="shared" si="82"/>
        <v>0</v>
      </c>
    </row>
    <row r="207" spans="1:17" ht="15.75" customHeight="1">
      <c r="A207" s="184" t="s">
        <v>695</v>
      </c>
      <c r="B207" s="184" t="s">
        <v>703</v>
      </c>
      <c r="C207" s="193"/>
      <c r="D207" s="193"/>
      <c r="E207" s="193"/>
      <c r="F207" s="193"/>
      <c r="G207" s="193"/>
      <c r="H207" s="193"/>
      <c r="I207" s="193"/>
      <c r="J207" s="193"/>
      <c r="K207" s="193"/>
      <c r="L207" s="193"/>
      <c r="M207" s="193"/>
      <c r="N207" s="193"/>
      <c r="O207" s="193"/>
      <c r="P207" s="193"/>
      <c r="Q207" s="191">
        <f t="shared" si="82"/>
        <v>0</v>
      </c>
    </row>
    <row r="208" spans="1:17" ht="15.75" customHeight="1">
      <c r="A208" s="183"/>
      <c r="B208" s="186"/>
      <c r="C208" s="193"/>
      <c r="D208" s="193"/>
      <c r="E208" s="193"/>
      <c r="F208" s="193"/>
      <c r="G208" s="193"/>
      <c r="H208" s="193"/>
      <c r="I208" s="193"/>
      <c r="J208" s="193"/>
      <c r="K208" s="193"/>
      <c r="L208" s="193"/>
      <c r="M208" s="193"/>
      <c r="N208" s="193"/>
      <c r="O208" s="193"/>
      <c r="P208" s="193"/>
      <c r="Q208" s="191">
        <f t="shared" si="82"/>
        <v>0</v>
      </c>
    </row>
    <row r="209" spans="1:17" ht="15.75" customHeight="1">
      <c r="A209" s="181" t="s">
        <v>262</v>
      </c>
      <c r="B209" s="181" t="s">
        <v>263</v>
      </c>
      <c r="C209" s="193">
        <f>SUM(C210:C217)</f>
        <v>0</v>
      </c>
      <c r="D209" s="193">
        <f>SUM(D210:D217)</f>
        <v>0</v>
      </c>
      <c r="E209" s="193">
        <f t="shared" ref="E209:P209" si="83">SUM(E210:E217)</f>
        <v>0</v>
      </c>
      <c r="F209" s="193">
        <f t="shared" si="83"/>
        <v>0</v>
      </c>
      <c r="G209" s="193">
        <f>SUM(G210:G217)</f>
        <v>0</v>
      </c>
      <c r="H209" s="193">
        <f t="shared" si="83"/>
        <v>0</v>
      </c>
      <c r="I209" s="193">
        <f t="shared" si="83"/>
        <v>0</v>
      </c>
      <c r="J209" s="193">
        <f t="shared" ref="J209" si="84">SUM(J210:J217)</f>
        <v>0</v>
      </c>
      <c r="K209" s="193">
        <f t="shared" si="83"/>
        <v>0</v>
      </c>
      <c r="L209" s="193">
        <f t="shared" si="83"/>
        <v>0</v>
      </c>
      <c r="M209" s="193">
        <f t="shared" si="83"/>
        <v>0</v>
      </c>
      <c r="N209" s="193">
        <f t="shared" si="83"/>
        <v>0</v>
      </c>
      <c r="O209" s="193">
        <f t="shared" si="83"/>
        <v>0</v>
      </c>
      <c r="P209" s="193">
        <f t="shared" si="83"/>
        <v>0</v>
      </c>
      <c r="Q209" s="191">
        <f t="shared" si="82"/>
        <v>0</v>
      </c>
    </row>
    <row r="210" spans="1:17" ht="15.75" customHeight="1">
      <c r="A210" s="184" t="s">
        <v>704</v>
      </c>
      <c r="B210" s="184" t="s">
        <v>712</v>
      </c>
      <c r="C210" s="193"/>
      <c r="D210" s="193"/>
      <c r="E210" s="193"/>
      <c r="F210" s="193"/>
      <c r="G210" s="193"/>
      <c r="H210" s="193"/>
      <c r="I210" s="193"/>
      <c r="J210" s="193"/>
      <c r="K210" s="193"/>
      <c r="L210" s="193"/>
      <c r="M210" s="193"/>
      <c r="N210" s="193"/>
      <c r="O210" s="193"/>
      <c r="P210" s="193"/>
      <c r="Q210" s="191">
        <f t="shared" si="82"/>
        <v>0</v>
      </c>
    </row>
    <row r="211" spans="1:17" ht="15.75" customHeight="1">
      <c r="A211" s="184" t="s">
        <v>705</v>
      </c>
      <c r="B211" s="184" t="s">
        <v>713</v>
      </c>
      <c r="C211" s="193"/>
      <c r="D211" s="193"/>
      <c r="E211" s="193"/>
      <c r="F211" s="193"/>
      <c r="G211" s="193"/>
      <c r="H211" s="193"/>
      <c r="I211" s="193"/>
      <c r="J211" s="193"/>
      <c r="K211" s="193"/>
      <c r="L211" s="193"/>
      <c r="M211" s="193"/>
      <c r="N211" s="193"/>
      <c r="O211" s="193"/>
      <c r="P211" s="193"/>
      <c r="Q211" s="191">
        <f t="shared" si="82"/>
        <v>0</v>
      </c>
    </row>
    <row r="212" spans="1:17" ht="15.75" customHeight="1">
      <c r="A212" s="184" t="s">
        <v>706</v>
      </c>
      <c r="B212" s="184" t="s">
        <v>714</v>
      </c>
      <c r="C212" s="193"/>
      <c r="D212" s="193"/>
      <c r="E212" s="193"/>
      <c r="F212" s="193"/>
      <c r="G212" s="193"/>
      <c r="H212" s="193"/>
      <c r="I212" s="193"/>
      <c r="J212" s="193"/>
      <c r="K212" s="193"/>
      <c r="L212" s="193"/>
      <c r="M212" s="193"/>
      <c r="N212" s="193"/>
      <c r="O212" s="193"/>
      <c r="P212" s="193"/>
      <c r="Q212" s="191">
        <f t="shared" si="82"/>
        <v>0</v>
      </c>
    </row>
    <row r="213" spans="1:17" ht="15.75" customHeight="1">
      <c r="A213" s="184" t="s">
        <v>707</v>
      </c>
      <c r="B213" s="184" t="s">
        <v>715</v>
      </c>
      <c r="C213" s="193"/>
      <c r="D213" s="193"/>
      <c r="E213" s="193"/>
      <c r="F213" s="193"/>
      <c r="G213" s="193"/>
      <c r="H213" s="193"/>
      <c r="I213" s="193"/>
      <c r="J213" s="193"/>
      <c r="K213" s="193"/>
      <c r="L213" s="193"/>
      <c r="M213" s="193"/>
      <c r="N213" s="193"/>
      <c r="O213" s="193"/>
      <c r="P213" s="193"/>
      <c r="Q213" s="191">
        <f t="shared" si="82"/>
        <v>0</v>
      </c>
    </row>
    <row r="214" spans="1:17" ht="15.75" customHeight="1">
      <c r="A214" s="184" t="s">
        <v>708</v>
      </c>
      <c r="B214" s="184" t="s">
        <v>716</v>
      </c>
      <c r="C214" s="193"/>
      <c r="D214" s="193"/>
      <c r="E214" s="193"/>
      <c r="F214" s="193"/>
      <c r="G214" s="193"/>
      <c r="H214" s="193"/>
      <c r="I214" s="193"/>
      <c r="J214" s="193"/>
      <c r="K214" s="193"/>
      <c r="L214" s="193"/>
      <c r="M214" s="193"/>
      <c r="N214" s="193"/>
      <c r="O214" s="193"/>
      <c r="P214" s="193"/>
      <c r="Q214" s="191">
        <f t="shared" si="82"/>
        <v>0</v>
      </c>
    </row>
    <row r="215" spans="1:17" ht="15.75" customHeight="1">
      <c r="A215" s="184" t="s">
        <v>709</v>
      </c>
      <c r="B215" s="184" t="s">
        <v>717</v>
      </c>
      <c r="C215" s="193"/>
      <c r="D215" s="193"/>
      <c r="E215" s="193"/>
      <c r="F215" s="193"/>
      <c r="G215" s="193"/>
      <c r="H215" s="193"/>
      <c r="I215" s="193"/>
      <c r="J215" s="193"/>
      <c r="K215" s="193"/>
      <c r="L215" s="193"/>
      <c r="M215" s="193"/>
      <c r="N215" s="193"/>
      <c r="O215" s="193"/>
      <c r="P215" s="193"/>
      <c r="Q215" s="191">
        <f t="shared" si="82"/>
        <v>0</v>
      </c>
    </row>
    <row r="216" spans="1:17" ht="15.75" customHeight="1">
      <c r="A216" s="184" t="s">
        <v>710</v>
      </c>
      <c r="B216" s="184" t="s">
        <v>718</v>
      </c>
      <c r="C216" s="193"/>
      <c r="D216" s="193"/>
      <c r="E216" s="193"/>
      <c r="F216" s="193"/>
      <c r="G216" s="193"/>
      <c r="H216" s="193"/>
      <c r="I216" s="193"/>
      <c r="J216" s="193"/>
      <c r="K216" s="193"/>
      <c r="L216" s="193"/>
      <c r="M216" s="193"/>
      <c r="N216" s="193"/>
      <c r="O216" s="193"/>
      <c r="P216" s="193"/>
      <c r="Q216" s="191">
        <f t="shared" si="82"/>
        <v>0</v>
      </c>
    </row>
    <row r="217" spans="1:17" ht="15.75" customHeight="1">
      <c r="A217" s="184" t="s">
        <v>711</v>
      </c>
      <c r="B217" s="184" t="s">
        <v>719</v>
      </c>
      <c r="C217" s="193"/>
      <c r="D217" s="193"/>
      <c r="E217" s="193"/>
      <c r="F217" s="193"/>
      <c r="G217" s="193"/>
      <c r="H217" s="193"/>
      <c r="I217" s="193"/>
      <c r="J217" s="193"/>
      <c r="K217" s="193"/>
      <c r="L217" s="193"/>
      <c r="M217" s="193"/>
      <c r="N217" s="193"/>
      <c r="O217" s="193"/>
      <c r="P217" s="193"/>
      <c r="Q217" s="191">
        <f t="shared" si="82"/>
        <v>0</v>
      </c>
    </row>
    <row r="218" spans="1:17" ht="15.75" customHeight="1">
      <c r="A218" s="183"/>
      <c r="B218" s="186"/>
      <c r="C218" s="193"/>
      <c r="D218" s="193"/>
      <c r="E218" s="193"/>
      <c r="F218" s="193"/>
      <c r="G218" s="193"/>
      <c r="H218" s="193"/>
      <c r="I218" s="193"/>
      <c r="J218" s="193"/>
      <c r="K218" s="193"/>
      <c r="L218" s="193"/>
      <c r="M218" s="193"/>
      <c r="N218" s="193"/>
      <c r="O218" s="193"/>
      <c r="P218" s="193"/>
      <c r="Q218" s="191">
        <f t="shared" si="82"/>
        <v>0</v>
      </c>
    </row>
    <row r="219" spans="1:17" ht="15.75" customHeight="1">
      <c r="A219" s="181" t="s">
        <v>264</v>
      </c>
      <c r="B219" s="181" t="s">
        <v>265</v>
      </c>
      <c r="C219" s="193">
        <f>SUM(C220:C221)</f>
        <v>0</v>
      </c>
      <c r="D219" s="193">
        <f>SUM(D220:D221)</f>
        <v>0</v>
      </c>
      <c r="E219" s="193">
        <f t="shared" ref="E219:P219" si="85">SUM(E220:E221)</f>
        <v>0</v>
      </c>
      <c r="F219" s="193">
        <f t="shared" si="85"/>
        <v>0</v>
      </c>
      <c r="G219" s="193">
        <f>SUM(G220:G221)</f>
        <v>0</v>
      </c>
      <c r="H219" s="193">
        <f t="shared" si="85"/>
        <v>0</v>
      </c>
      <c r="I219" s="193">
        <f t="shared" si="85"/>
        <v>0</v>
      </c>
      <c r="J219" s="193">
        <f t="shared" ref="J219" si="86">SUM(J220:J221)</f>
        <v>0</v>
      </c>
      <c r="K219" s="193">
        <f t="shared" si="85"/>
        <v>0</v>
      </c>
      <c r="L219" s="193">
        <f t="shared" si="85"/>
        <v>0</v>
      </c>
      <c r="M219" s="193">
        <f t="shared" si="85"/>
        <v>0</v>
      </c>
      <c r="N219" s="193">
        <f t="shared" si="85"/>
        <v>0</v>
      </c>
      <c r="O219" s="193">
        <f t="shared" si="85"/>
        <v>0</v>
      </c>
      <c r="P219" s="193">
        <f t="shared" si="85"/>
        <v>0</v>
      </c>
      <c r="Q219" s="191">
        <f t="shared" si="82"/>
        <v>0</v>
      </c>
    </row>
    <row r="220" spans="1:17" ht="15.75" customHeight="1">
      <c r="A220" s="184" t="s">
        <v>720</v>
      </c>
      <c r="B220" s="184" t="s">
        <v>722</v>
      </c>
      <c r="C220" s="193"/>
      <c r="D220" s="193"/>
      <c r="E220" s="193"/>
      <c r="F220" s="193"/>
      <c r="G220" s="193"/>
      <c r="H220" s="193"/>
      <c r="I220" s="193"/>
      <c r="J220" s="193"/>
      <c r="K220" s="193"/>
      <c r="L220" s="193"/>
      <c r="M220" s="193"/>
      <c r="N220" s="193"/>
      <c r="O220" s="193"/>
      <c r="P220" s="193"/>
      <c r="Q220" s="191">
        <f t="shared" si="82"/>
        <v>0</v>
      </c>
    </row>
    <row r="221" spans="1:17" ht="15.75" customHeight="1">
      <c r="A221" s="184" t="s">
        <v>721</v>
      </c>
      <c r="B221" s="184" t="s">
        <v>723</v>
      </c>
      <c r="C221" s="193"/>
      <c r="D221" s="193"/>
      <c r="E221" s="193"/>
      <c r="F221" s="193"/>
      <c r="G221" s="193"/>
      <c r="H221" s="193"/>
      <c r="I221" s="193"/>
      <c r="J221" s="193"/>
      <c r="K221" s="193"/>
      <c r="L221" s="193"/>
      <c r="M221" s="193"/>
      <c r="N221" s="193"/>
      <c r="O221" s="193"/>
      <c r="P221" s="193"/>
      <c r="Q221" s="191">
        <f t="shared" si="82"/>
        <v>0</v>
      </c>
    </row>
    <row r="222" spans="1:17" ht="15.75" customHeight="1">
      <c r="A222" s="183"/>
      <c r="B222" s="186"/>
      <c r="C222" s="193"/>
      <c r="D222" s="193"/>
      <c r="E222" s="193"/>
      <c r="F222" s="193"/>
      <c r="G222" s="193"/>
      <c r="H222" s="193"/>
      <c r="I222" s="193"/>
      <c r="J222" s="193"/>
      <c r="K222" s="193"/>
      <c r="L222" s="193"/>
      <c r="M222" s="381"/>
      <c r="N222" s="193"/>
      <c r="O222" s="193"/>
      <c r="P222" s="193"/>
      <c r="Q222" s="191">
        <f t="shared" si="82"/>
        <v>0</v>
      </c>
    </row>
    <row r="223" spans="1:17" ht="15.75" customHeight="1">
      <c r="A223" s="181">
        <v>5</v>
      </c>
      <c r="B223" s="181" t="s">
        <v>724</v>
      </c>
      <c r="C223" s="193">
        <f>+C224+C234+C244+C249</f>
        <v>0</v>
      </c>
      <c r="D223" s="193">
        <f>+D224+D234+D244+D249</f>
        <v>0</v>
      </c>
      <c r="E223" s="193">
        <f t="shared" ref="E223:P223" si="87">+E224+E234+E244+E249</f>
        <v>0</v>
      </c>
      <c r="F223" s="193">
        <f t="shared" si="87"/>
        <v>0</v>
      </c>
      <c r="G223" s="193">
        <f>+G224+G234+G244+G249</f>
        <v>3500403.42</v>
      </c>
      <c r="H223" s="193">
        <f t="shared" si="87"/>
        <v>0</v>
      </c>
      <c r="I223" s="193">
        <f t="shared" si="87"/>
        <v>0</v>
      </c>
      <c r="J223" s="193">
        <f t="shared" ref="J223" si="88">+J224+J234+J244+J249</f>
        <v>0</v>
      </c>
      <c r="K223" s="193">
        <f t="shared" si="87"/>
        <v>0</v>
      </c>
      <c r="L223" s="193">
        <f t="shared" si="87"/>
        <v>0</v>
      </c>
      <c r="M223" s="193">
        <f t="shared" si="87"/>
        <v>0</v>
      </c>
      <c r="N223" s="193">
        <f t="shared" si="87"/>
        <v>6000000</v>
      </c>
      <c r="O223" s="193">
        <f t="shared" si="87"/>
        <v>0</v>
      </c>
      <c r="P223" s="193">
        <f t="shared" si="87"/>
        <v>0</v>
      </c>
      <c r="Q223" s="191">
        <f t="shared" si="82"/>
        <v>9500403.4199999999</v>
      </c>
    </row>
    <row r="224" spans="1:17" ht="15.75" customHeight="1">
      <c r="A224" s="181" t="s">
        <v>266</v>
      </c>
      <c r="B224" s="181" t="s">
        <v>267</v>
      </c>
      <c r="C224" s="193">
        <f>SUM(C225:C232)</f>
        <v>0</v>
      </c>
      <c r="D224" s="193">
        <f>SUM(D225:D232)</f>
        <v>0</v>
      </c>
      <c r="E224" s="193">
        <f t="shared" ref="E224:P224" si="89">SUM(E225:E232)</f>
        <v>0</v>
      </c>
      <c r="F224" s="193">
        <f t="shared" si="89"/>
        <v>0</v>
      </c>
      <c r="G224" s="193">
        <f>SUM(G225:G232)</f>
        <v>3500403.42</v>
      </c>
      <c r="H224" s="193">
        <f t="shared" si="89"/>
        <v>0</v>
      </c>
      <c r="I224" s="193">
        <f t="shared" si="89"/>
        <v>0</v>
      </c>
      <c r="J224" s="193">
        <f t="shared" ref="J224" si="90">SUM(J225:J232)</f>
        <v>0</v>
      </c>
      <c r="K224" s="193">
        <f t="shared" si="89"/>
        <v>0</v>
      </c>
      <c r="L224" s="193">
        <f t="shared" si="89"/>
        <v>0</v>
      </c>
      <c r="M224" s="193">
        <f t="shared" si="89"/>
        <v>0</v>
      </c>
      <c r="N224" s="193">
        <f t="shared" si="89"/>
        <v>1500000</v>
      </c>
      <c r="O224" s="193">
        <f t="shared" si="89"/>
        <v>0</v>
      </c>
      <c r="P224" s="193">
        <f t="shared" si="89"/>
        <v>0</v>
      </c>
      <c r="Q224" s="191">
        <f t="shared" si="82"/>
        <v>5000403.42</v>
      </c>
    </row>
    <row r="225" spans="1:17" ht="15.75" customHeight="1">
      <c r="A225" s="184" t="s">
        <v>725</v>
      </c>
      <c r="B225" s="184" t="s">
        <v>733</v>
      </c>
      <c r="C225" s="193"/>
      <c r="D225" s="193"/>
      <c r="E225" s="193"/>
      <c r="F225" s="193"/>
      <c r="G225" s="193"/>
      <c r="H225" s="193"/>
      <c r="I225" s="193"/>
      <c r="J225" s="193"/>
      <c r="K225" s="193"/>
      <c r="L225" s="193"/>
      <c r="M225" s="381"/>
      <c r="N225" s="193"/>
      <c r="O225" s="193"/>
      <c r="P225" s="193"/>
      <c r="Q225" s="191">
        <f t="shared" si="82"/>
        <v>0</v>
      </c>
    </row>
    <row r="226" spans="1:17" ht="15.75" customHeight="1">
      <c r="A226" s="184" t="s">
        <v>726</v>
      </c>
      <c r="B226" s="184" t="s">
        <v>734</v>
      </c>
      <c r="C226" s="193"/>
      <c r="D226" s="193"/>
      <c r="E226" s="193"/>
      <c r="F226" s="193"/>
      <c r="G226" s="193"/>
      <c r="H226" s="193"/>
      <c r="I226" s="193"/>
      <c r="J226" s="193"/>
      <c r="K226" s="193"/>
      <c r="L226" s="193"/>
      <c r="M226" s="381"/>
      <c r="N226" s="193">
        <v>0</v>
      </c>
      <c r="O226" s="193"/>
      <c r="P226" s="193"/>
      <c r="Q226" s="191">
        <f t="shared" si="82"/>
        <v>0</v>
      </c>
    </row>
    <row r="227" spans="1:17" ht="15.75" customHeight="1">
      <c r="A227" s="184" t="s">
        <v>727</v>
      </c>
      <c r="B227" s="184" t="s">
        <v>735</v>
      </c>
      <c r="C227" s="193"/>
      <c r="D227" s="193"/>
      <c r="E227" s="193"/>
      <c r="F227" s="193"/>
      <c r="G227" s="193"/>
      <c r="H227" s="193"/>
      <c r="I227" s="193"/>
      <c r="J227" s="193"/>
      <c r="K227" s="193"/>
      <c r="L227" s="193"/>
      <c r="M227" s="381"/>
      <c r="N227" s="193"/>
      <c r="O227" s="193"/>
      <c r="P227" s="193"/>
      <c r="Q227" s="191">
        <f t="shared" si="82"/>
        <v>0</v>
      </c>
    </row>
    <row r="228" spans="1:17" ht="15.75" customHeight="1">
      <c r="A228" s="184" t="s">
        <v>728</v>
      </c>
      <c r="B228" s="184" t="s">
        <v>736</v>
      </c>
      <c r="C228" s="193"/>
      <c r="D228" s="193"/>
      <c r="E228" s="193"/>
      <c r="F228" s="193"/>
      <c r="G228" s="193"/>
      <c r="H228" s="193"/>
      <c r="I228" s="193"/>
      <c r="J228" s="193"/>
      <c r="K228" s="193"/>
      <c r="L228" s="193">
        <v>0</v>
      </c>
      <c r="M228" s="381">
        <v>0</v>
      </c>
      <c r="N228" s="193"/>
      <c r="O228" s="193">
        <v>0</v>
      </c>
      <c r="P228" s="193"/>
      <c r="Q228" s="191">
        <f t="shared" si="82"/>
        <v>0</v>
      </c>
    </row>
    <row r="229" spans="1:17" ht="15.75" customHeight="1">
      <c r="A229" s="184" t="s">
        <v>729</v>
      </c>
      <c r="B229" s="184" t="s">
        <v>737</v>
      </c>
      <c r="C229" s="193"/>
      <c r="D229" s="193"/>
      <c r="E229" s="193"/>
      <c r="F229" s="193"/>
      <c r="G229" s="193"/>
      <c r="H229" s="193"/>
      <c r="I229" s="193"/>
      <c r="J229" s="193"/>
      <c r="K229" s="193"/>
      <c r="L229" s="193"/>
      <c r="M229" s="381">
        <v>0</v>
      </c>
      <c r="N229" s="193">
        <v>1500000</v>
      </c>
      <c r="O229" s="193">
        <v>0</v>
      </c>
      <c r="P229" s="193"/>
      <c r="Q229" s="191">
        <f t="shared" si="82"/>
        <v>1500000</v>
      </c>
    </row>
    <row r="230" spans="1:17" ht="15.75" customHeight="1">
      <c r="A230" s="184" t="s">
        <v>730</v>
      </c>
      <c r="B230" s="184" t="s">
        <v>738</v>
      </c>
      <c r="C230" s="193"/>
      <c r="D230" s="193"/>
      <c r="E230" s="193"/>
      <c r="F230" s="193"/>
      <c r="G230" s="193"/>
      <c r="H230" s="193"/>
      <c r="I230" s="193"/>
      <c r="J230" s="193"/>
      <c r="K230" s="193"/>
      <c r="L230" s="193"/>
      <c r="M230" s="381"/>
      <c r="N230" s="193"/>
      <c r="O230" s="193"/>
      <c r="P230" s="193"/>
      <c r="Q230" s="191">
        <f t="shared" si="82"/>
        <v>0</v>
      </c>
    </row>
    <row r="231" spans="1:17" ht="15.75" customHeight="1">
      <c r="A231" s="184" t="s">
        <v>731</v>
      </c>
      <c r="B231" s="184" t="s">
        <v>739</v>
      </c>
      <c r="C231" s="193"/>
      <c r="D231" s="193"/>
      <c r="E231" s="193"/>
      <c r="F231" s="193"/>
      <c r="G231" s="193">
        <f>1000000-500000</f>
        <v>500000</v>
      </c>
      <c r="H231" s="193"/>
      <c r="I231" s="193"/>
      <c r="J231" s="193"/>
      <c r="K231" s="193"/>
      <c r="L231" s="193"/>
      <c r="M231" s="381"/>
      <c r="N231" s="193"/>
      <c r="O231" s="193"/>
      <c r="P231" s="193"/>
      <c r="Q231" s="191">
        <f t="shared" si="82"/>
        <v>500000</v>
      </c>
    </row>
    <row r="232" spans="1:17" ht="15.75" customHeight="1">
      <c r="A232" s="184" t="s">
        <v>732</v>
      </c>
      <c r="B232" s="184" t="s">
        <v>740</v>
      </c>
      <c r="C232" s="193">
        <v>0</v>
      </c>
      <c r="D232" s="193">
        <v>0</v>
      </c>
      <c r="E232" s="193"/>
      <c r="F232" s="193"/>
      <c r="G232" s="193">
        <f>4592403.42-1592000</f>
        <v>3000403.42</v>
      </c>
      <c r="H232" s="193"/>
      <c r="I232" s="193"/>
      <c r="J232" s="193"/>
      <c r="K232" s="193"/>
      <c r="L232" s="193"/>
      <c r="M232" s="381">
        <v>0</v>
      </c>
      <c r="N232" s="193">
        <v>0</v>
      </c>
      <c r="O232" s="193"/>
      <c r="P232" s="193"/>
      <c r="Q232" s="191">
        <f t="shared" si="82"/>
        <v>3000403.42</v>
      </c>
    </row>
    <row r="233" spans="1:17" ht="15.75" customHeight="1">
      <c r="A233" s="182"/>
      <c r="B233" s="186"/>
      <c r="C233" s="193" t="s">
        <v>72</v>
      </c>
      <c r="D233" s="193" t="s">
        <v>72</v>
      </c>
      <c r="E233" s="193"/>
      <c r="F233" s="193"/>
      <c r="G233" s="193" t="s">
        <v>72</v>
      </c>
      <c r="H233" s="193"/>
      <c r="I233" s="193"/>
      <c r="J233" s="193"/>
      <c r="K233" s="193"/>
      <c r="L233" s="193"/>
      <c r="M233" s="381"/>
      <c r="N233" s="193"/>
      <c r="O233" s="193"/>
      <c r="P233" s="193"/>
      <c r="Q233" s="191">
        <f t="shared" si="82"/>
        <v>0</v>
      </c>
    </row>
    <row r="234" spans="1:17" ht="15.75" customHeight="1">
      <c r="A234" s="181" t="s">
        <v>268</v>
      </c>
      <c r="B234" s="181" t="s">
        <v>269</v>
      </c>
      <c r="C234" s="193">
        <f>SUM(C235:C242)</f>
        <v>0</v>
      </c>
      <c r="D234" s="193">
        <f>SUM(D235:D242)</f>
        <v>0</v>
      </c>
      <c r="E234" s="193">
        <f t="shared" ref="E234:P234" si="91">SUM(E235:E242)</f>
        <v>0</v>
      </c>
      <c r="F234" s="193">
        <f t="shared" si="91"/>
        <v>0</v>
      </c>
      <c r="G234" s="193">
        <f>SUM(G235:G242)</f>
        <v>0</v>
      </c>
      <c r="H234" s="193">
        <f t="shared" si="91"/>
        <v>0</v>
      </c>
      <c r="I234" s="193">
        <f t="shared" si="91"/>
        <v>0</v>
      </c>
      <c r="J234" s="193">
        <f t="shared" ref="J234" si="92">SUM(J235:J242)</f>
        <v>0</v>
      </c>
      <c r="K234" s="193">
        <f t="shared" si="91"/>
        <v>0</v>
      </c>
      <c r="L234" s="193">
        <f t="shared" si="91"/>
        <v>0</v>
      </c>
      <c r="M234" s="193">
        <f t="shared" si="91"/>
        <v>0</v>
      </c>
      <c r="N234" s="193">
        <f t="shared" si="91"/>
        <v>0</v>
      </c>
      <c r="O234" s="193">
        <f t="shared" si="91"/>
        <v>0</v>
      </c>
      <c r="P234" s="193">
        <f t="shared" si="91"/>
        <v>0</v>
      </c>
      <c r="Q234" s="191">
        <f t="shared" si="82"/>
        <v>0</v>
      </c>
    </row>
    <row r="235" spans="1:17" ht="15.75" customHeight="1">
      <c r="A235" s="184" t="s">
        <v>741</v>
      </c>
      <c r="B235" s="184" t="s">
        <v>749</v>
      </c>
      <c r="C235" s="193"/>
      <c r="D235" s="193"/>
      <c r="E235" s="193"/>
      <c r="F235" s="193"/>
      <c r="G235" s="193"/>
      <c r="H235" s="193"/>
      <c r="I235" s="193"/>
      <c r="J235" s="193"/>
      <c r="K235" s="193"/>
      <c r="L235" s="193">
        <v>0</v>
      </c>
      <c r="M235" s="381">
        <v>0</v>
      </c>
      <c r="N235" s="193">
        <v>0</v>
      </c>
      <c r="O235" s="193"/>
      <c r="P235" s="193">
        <v>0</v>
      </c>
      <c r="Q235" s="191">
        <f t="shared" si="82"/>
        <v>0</v>
      </c>
    </row>
    <row r="236" spans="1:17" ht="15.75" customHeight="1">
      <c r="A236" s="184" t="s">
        <v>742</v>
      </c>
      <c r="B236" s="184" t="s">
        <v>750</v>
      </c>
      <c r="C236" s="193"/>
      <c r="D236" s="193"/>
      <c r="E236" s="193"/>
      <c r="F236" s="193"/>
      <c r="G236" s="193"/>
      <c r="H236" s="193"/>
      <c r="I236" s="193"/>
      <c r="J236" s="193"/>
      <c r="K236" s="193"/>
      <c r="L236" s="193"/>
      <c r="M236" s="381"/>
      <c r="N236" s="193"/>
      <c r="O236" s="193"/>
      <c r="P236" s="193">
        <v>0</v>
      </c>
      <c r="Q236" s="191">
        <f t="shared" si="82"/>
        <v>0</v>
      </c>
    </row>
    <row r="237" spans="1:17" ht="15.75" customHeight="1">
      <c r="A237" s="184" t="s">
        <v>743</v>
      </c>
      <c r="B237" s="184" t="s">
        <v>751</v>
      </c>
      <c r="C237" s="193"/>
      <c r="D237" s="193"/>
      <c r="E237" s="193"/>
      <c r="F237" s="193"/>
      <c r="G237" s="193"/>
      <c r="H237" s="193"/>
      <c r="I237" s="193"/>
      <c r="J237" s="193"/>
      <c r="K237" s="193"/>
      <c r="L237" s="193"/>
      <c r="M237" s="381"/>
      <c r="N237" s="193"/>
      <c r="O237" s="193"/>
      <c r="P237" s="193"/>
      <c r="Q237" s="191">
        <f t="shared" si="82"/>
        <v>0</v>
      </c>
    </row>
    <row r="238" spans="1:17" ht="15.75" customHeight="1">
      <c r="A238" s="184" t="s">
        <v>744</v>
      </c>
      <c r="B238" s="184" t="s">
        <v>752</v>
      </c>
      <c r="C238" s="193"/>
      <c r="D238" s="193"/>
      <c r="E238" s="193"/>
      <c r="F238" s="193"/>
      <c r="G238" s="193"/>
      <c r="H238" s="193"/>
      <c r="I238" s="193"/>
      <c r="J238" s="193"/>
      <c r="K238" s="193"/>
      <c r="L238" s="193">
        <v>0</v>
      </c>
      <c r="M238" s="381"/>
      <c r="N238" s="193"/>
      <c r="O238" s="193"/>
      <c r="P238" s="193"/>
      <c r="Q238" s="191">
        <f t="shared" si="82"/>
        <v>0</v>
      </c>
    </row>
    <row r="239" spans="1:17" ht="15.75" customHeight="1">
      <c r="A239" s="184" t="s">
        <v>745</v>
      </c>
      <c r="B239" s="184" t="s">
        <v>753</v>
      </c>
      <c r="C239" s="193"/>
      <c r="D239" s="193"/>
      <c r="E239" s="193"/>
      <c r="F239" s="193"/>
      <c r="G239" s="193"/>
      <c r="H239" s="193"/>
      <c r="I239" s="193"/>
      <c r="J239" s="193"/>
      <c r="K239" s="193"/>
      <c r="L239" s="193"/>
      <c r="M239" s="381"/>
      <c r="N239" s="193"/>
      <c r="O239" s="193"/>
      <c r="P239" s="193"/>
      <c r="Q239" s="191">
        <f t="shared" si="82"/>
        <v>0</v>
      </c>
    </row>
    <row r="240" spans="1:17" ht="15.75" customHeight="1">
      <c r="A240" s="184" t="s">
        <v>746</v>
      </c>
      <c r="B240" s="184" t="s">
        <v>754</v>
      </c>
      <c r="C240" s="193"/>
      <c r="D240" s="193"/>
      <c r="E240" s="193"/>
      <c r="F240" s="193"/>
      <c r="G240" s="193"/>
      <c r="H240" s="193"/>
      <c r="I240" s="193"/>
      <c r="J240" s="193"/>
      <c r="K240" s="193"/>
      <c r="L240" s="193"/>
      <c r="M240" s="381"/>
      <c r="N240" s="193"/>
      <c r="O240" s="193"/>
      <c r="P240" s="193"/>
      <c r="Q240" s="191">
        <f t="shared" si="82"/>
        <v>0</v>
      </c>
    </row>
    <row r="241" spans="1:17" ht="15.75" customHeight="1">
      <c r="A241" s="184" t="s">
        <v>747</v>
      </c>
      <c r="B241" s="184" t="s">
        <v>755</v>
      </c>
      <c r="C241" s="193"/>
      <c r="D241" s="193"/>
      <c r="E241" s="193"/>
      <c r="F241" s="193"/>
      <c r="G241" s="193"/>
      <c r="H241" s="193"/>
      <c r="I241" s="193"/>
      <c r="J241" s="193"/>
      <c r="K241" s="193"/>
      <c r="L241" s="193"/>
      <c r="M241" s="381"/>
      <c r="N241" s="193"/>
      <c r="O241" s="193"/>
      <c r="P241" s="193"/>
      <c r="Q241" s="191">
        <f t="shared" si="82"/>
        <v>0</v>
      </c>
    </row>
    <row r="242" spans="1:17" ht="15.75" customHeight="1">
      <c r="A242" s="184" t="s">
        <v>748</v>
      </c>
      <c r="B242" s="184" t="s">
        <v>756</v>
      </c>
      <c r="C242" s="193"/>
      <c r="D242" s="193"/>
      <c r="E242" s="193"/>
      <c r="F242" s="193"/>
      <c r="G242" s="193">
        <v>0</v>
      </c>
      <c r="H242" s="193"/>
      <c r="I242" s="193"/>
      <c r="J242" s="193"/>
      <c r="K242" s="193"/>
      <c r="L242" s="193">
        <v>0</v>
      </c>
      <c r="M242" s="381">
        <v>0</v>
      </c>
      <c r="N242" s="193"/>
      <c r="O242" s="193"/>
      <c r="P242" s="193"/>
      <c r="Q242" s="191">
        <f t="shared" si="82"/>
        <v>0</v>
      </c>
    </row>
    <row r="243" spans="1:17" ht="15.75" customHeight="1">
      <c r="A243" s="183"/>
      <c r="B243" s="186"/>
      <c r="C243" s="193"/>
      <c r="D243" s="193"/>
      <c r="E243" s="193"/>
      <c r="F243" s="193"/>
      <c r="G243" s="193"/>
      <c r="H243" s="193"/>
      <c r="I243" s="193"/>
      <c r="J243" s="193"/>
      <c r="K243" s="193"/>
      <c r="L243" s="193"/>
      <c r="M243" s="381"/>
      <c r="N243" s="193"/>
      <c r="O243" s="193"/>
      <c r="P243" s="193"/>
      <c r="Q243" s="191">
        <f t="shared" si="82"/>
        <v>0</v>
      </c>
    </row>
    <row r="244" spans="1:17" ht="15.75" customHeight="1">
      <c r="A244" s="181" t="s">
        <v>270</v>
      </c>
      <c r="B244" s="181" t="s">
        <v>271</v>
      </c>
      <c r="C244" s="193">
        <f>SUM(C245:C247)</f>
        <v>0</v>
      </c>
      <c r="D244" s="193">
        <f>SUM(D245:D247)</f>
        <v>0</v>
      </c>
      <c r="E244" s="193">
        <f t="shared" ref="E244:P244" si="93">SUM(E245:E247)</f>
        <v>0</v>
      </c>
      <c r="F244" s="193">
        <f t="shared" si="93"/>
        <v>0</v>
      </c>
      <c r="G244" s="193">
        <f>SUM(G245:G247)</f>
        <v>0</v>
      </c>
      <c r="H244" s="193">
        <f t="shared" si="93"/>
        <v>0</v>
      </c>
      <c r="I244" s="193">
        <f t="shared" si="93"/>
        <v>0</v>
      </c>
      <c r="J244" s="193">
        <f t="shared" ref="J244" si="94">SUM(J245:J247)</f>
        <v>0</v>
      </c>
      <c r="K244" s="193">
        <f t="shared" si="93"/>
        <v>0</v>
      </c>
      <c r="L244" s="193">
        <f t="shared" si="93"/>
        <v>0</v>
      </c>
      <c r="M244" s="193">
        <f t="shared" si="93"/>
        <v>0</v>
      </c>
      <c r="N244" s="193">
        <f t="shared" si="93"/>
        <v>0</v>
      </c>
      <c r="O244" s="193">
        <f t="shared" si="93"/>
        <v>0</v>
      </c>
      <c r="P244" s="193">
        <f t="shared" si="93"/>
        <v>0</v>
      </c>
      <c r="Q244" s="191">
        <f t="shared" si="82"/>
        <v>0</v>
      </c>
    </row>
    <row r="245" spans="1:17" ht="15.75" customHeight="1">
      <c r="A245" s="184" t="s">
        <v>757</v>
      </c>
      <c r="B245" s="184" t="s">
        <v>760</v>
      </c>
      <c r="C245" s="193"/>
      <c r="D245" s="193"/>
      <c r="E245" s="193"/>
      <c r="F245" s="193"/>
      <c r="G245" s="193"/>
      <c r="H245" s="193"/>
      <c r="I245" s="193"/>
      <c r="J245" s="193"/>
      <c r="K245" s="193"/>
      <c r="L245" s="193"/>
      <c r="M245" s="381"/>
      <c r="N245" s="193"/>
      <c r="O245" s="193"/>
      <c r="P245" s="193"/>
      <c r="Q245" s="191">
        <f t="shared" si="82"/>
        <v>0</v>
      </c>
    </row>
    <row r="246" spans="1:17" ht="15.75" customHeight="1">
      <c r="A246" s="184" t="s">
        <v>758</v>
      </c>
      <c r="B246" s="184" t="s">
        <v>761</v>
      </c>
      <c r="C246" s="193"/>
      <c r="D246" s="193"/>
      <c r="E246" s="193"/>
      <c r="F246" s="193"/>
      <c r="G246" s="193"/>
      <c r="H246" s="193"/>
      <c r="I246" s="193"/>
      <c r="J246" s="193"/>
      <c r="K246" s="193"/>
      <c r="L246" s="193"/>
      <c r="M246" s="381"/>
      <c r="N246" s="193"/>
      <c r="O246" s="193"/>
      <c r="P246" s="193"/>
      <c r="Q246" s="191">
        <f t="shared" si="82"/>
        <v>0</v>
      </c>
    </row>
    <row r="247" spans="1:17" ht="15.75" customHeight="1">
      <c r="A247" s="184" t="s">
        <v>759</v>
      </c>
      <c r="B247" s="184" t="s">
        <v>762</v>
      </c>
      <c r="C247" s="193"/>
      <c r="D247" s="193"/>
      <c r="E247" s="193"/>
      <c r="F247" s="193"/>
      <c r="G247" s="193"/>
      <c r="H247" s="193"/>
      <c r="I247" s="193"/>
      <c r="J247" s="193"/>
      <c r="K247" s="193"/>
      <c r="L247" s="193"/>
      <c r="M247" s="381"/>
      <c r="N247" s="193"/>
      <c r="O247" s="193"/>
      <c r="P247" s="193"/>
      <c r="Q247" s="191">
        <f t="shared" si="82"/>
        <v>0</v>
      </c>
    </row>
    <row r="248" spans="1:17" ht="15.75" customHeight="1">
      <c r="A248" s="183"/>
      <c r="B248" s="186"/>
      <c r="C248" s="193"/>
      <c r="D248" s="193"/>
      <c r="E248" s="193"/>
      <c r="F248" s="193"/>
      <c r="G248" s="193"/>
      <c r="H248" s="193"/>
      <c r="I248" s="193"/>
      <c r="J248" s="193"/>
      <c r="K248" s="193"/>
      <c r="L248" s="193"/>
      <c r="M248" s="381"/>
      <c r="N248" s="193"/>
      <c r="O248" s="193"/>
      <c r="P248" s="193"/>
      <c r="Q248" s="191">
        <f t="shared" si="82"/>
        <v>0</v>
      </c>
    </row>
    <row r="249" spans="1:17" ht="15.75" customHeight="1">
      <c r="A249" s="181" t="s">
        <v>272</v>
      </c>
      <c r="B249" s="181" t="s">
        <v>273</v>
      </c>
      <c r="C249" s="193">
        <f>SUM(C250:C253)</f>
        <v>0</v>
      </c>
      <c r="D249" s="193">
        <f>SUM(D250:D253)</f>
        <v>0</v>
      </c>
      <c r="E249" s="193">
        <f t="shared" ref="E249:P249" si="95">SUM(E250:E253)</f>
        <v>0</v>
      </c>
      <c r="F249" s="193">
        <f t="shared" si="95"/>
        <v>0</v>
      </c>
      <c r="G249" s="193">
        <f>SUM(G250:G253)</f>
        <v>0</v>
      </c>
      <c r="H249" s="193">
        <f t="shared" si="95"/>
        <v>0</v>
      </c>
      <c r="I249" s="193">
        <f t="shared" si="95"/>
        <v>0</v>
      </c>
      <c r="J249" s="193">
        <f t="shared" ref="J249" si="96">SUM(J250:J253)</f>
        <v>0</v>
      </c>
      <c r="K249" s="193">
        <f t="shared" si="95"/>
        <v>0</v>
      </c>
      <c r="L249" s="193">
        <f t="shared" si="95"/>
        <v>0</v>
      </c>
      <c r="M249" s="193">
        <f t="shared" si="95"/>
        <v>0</v>
      </c>
      <c r="N249" s="193">
        <f t="shared" si="95"/>
        <v>4500000</v>
      </c>
      <c r="O249" s="193">
        <f t="shared" si="95"/>
        <v>0</v>
      </c>
      <c r="P249" s="193">
        <f t="shared" si="95"/>
        <v>0</v>
      </c>
      <c r="Q249" s="191">
        <f t="shared" si="82"/>
        <v>4500000</v>
      </c>
    </row>
    <row r="250" spans="1:17" ht="15.75" customHeight="1">
      <c r="A250" s="184" t="s">
        <v>763</v>
      </c>
      <c r="B250" s="184" t="s">
        <v>767</v>
      </c>
      <c r="C250" s="193"/>
      <c r="D250" s="193"/>
      <c r="E250" s="193"/>
      <c r="F250" s="193"/>
      <c r="G250" s="193"/>
      <c r="H250" s="193"/>
      <c r="I250" s="193"/>
      <c r="J250" s="193"/>
      <c r="K250" s="193"/>
      <c r="L250" s="193"/>
      <c r="M250" s="381"/>
      <c r="N250" s="193"/>
      <c r="O250" s="193"/>
      <c r="P250" s="193"/>
      <c r="Q250" s="191">
        <f t="shared" si="82"/>
        <v>0</v>
      </c>
    </row>
    <row r="251" spans="1:17" ht="15.75" customHeight="1">
      <c r="A251" s="184" t="s">
        <v>764</v>
      </c>
      <c r="B251" s="184" t="s">
        <v>768</v>
      </c>
      <c r="C251" s="193"/>
      <c r="D251" s="193"/>
      <c r="E251" s="193"/>
      <c r="F251" s="193"/>
      <c r="G251" s="193"/>
      <c r="H251" s="193"/>
      <c r="I251" s="193"/>
      <c r="J251" s="193"/>
      <c r="K251" s="193"/>
      <c r="L251" s="193"/>
      <c r="M251" s="381"/>
      <c r="N251" s="193"/>
      <c r="O251" s="193"/>
      <c r="P251" s="193"/>
      <c r="Q251" s="191">
        <f t="shared" si="82"/>
        <v>0</v>
      </c>
    </row>
    <row r="252" spans="1:17" ht="15.75" customHeight="1">
      <c r="A252" s="184" t="s">
        <v>765</v>
      </c>
      <c r="B252" s="184" t="s">
        <v>769</v>
      </c>
      <c r="C252" s="193"/>
      <c r="D252" s="193"/>
      <c r="E252" s="193"/>
      <c r="F252" s="193"/>
      <c r="G252" s="193"/>
      <c r="H252" s="193"/>
      <c r="I252" s="193"/>
      <c r="J252" s="193"/>
      <c r="K252" s="193"/>
      <c r="L252" s="193"/>
      <c r="M252" s="381"/>
      <c r="N252" s="193">
        <v>4500000</v>
      </c>
      <c r="O252" s="193"/>
      <c r="P252" s="193"/>
      <c r="Q252" s="191">
        <f t="shared" si="82"/>
        <v>4500000</v>
      </c>
    </row>
    <row r="253" spans="1:17" ht="15.75" customHeight="1">
      <c r="A253" s="184" t="s">
        <v>766</v>
      </c>
      <c r="B253" s="184" t="s">
        <v>770</v>
      </c>
      <c r="C253" s="193"/>
      <c r="D253" s="193"/>
      <c r="E253" s="193"/>
      <c r="F253" s="193"/>
      <c r="G253" s="193"/>
      <c r="H253" s="193"/>
      <c r="I253" s="193"/>
      <c r="J253" s="193"/>
      <c r="K253" s="193"/>
      <c r="L253" s="193"/>
      <c r="M253" s="381"/>
      <c r="N253" s="193"/>
      <c r="O253" s="193"/>
      <c r="P253" s="193"/>
      <c r="Q253" s="191">
        <f t="shared" si="82"/>
        <v>0</v>
      </c>
    </row>
    <row r="254" spans="1:17" ht="15.75" customHeight="1">
      <c r="A254" s="183"/>
      <c r="B254" s="186"/>
      <c r="C254" s="193"/>
      <c r="D254" s="193"/>
      <c r="E254" s="193"/>
      <c r="F254" s="193"/>
      <c r="G254" s="193"/>
      <c r="H254" s="193"/>
      <c r="I254" s="193"/>
      <c r="J254" s="193"/>
      <c r="K254" s="193"/>
      <c r="L254" s="193"/>
      <c r="M254" s="381"/>
      <c r="N254" s="193"/>
      <c r="O254" s="193"/>
      <c r="P254" s="193"/>
      <c r="Q254" s="191">
        <f t="shared" si="82"/>
        <v>0</v>
      </c>
    </row>
    <row r="255" spans="1:17" ht="15.75" customHeight="1">
      <c r="A255" s="181">
        <v>6</v>
      </c>
      <c r="B255" s="181" t="s">
        <v>771</v>
      </c>
      <c r="C255" s="193">
        <f>+C256+C267+C273+C281+C287+C290+C294</f>
        <v>50000</v>
      </c>
      <c r="D255" s="193">
        <f>+D256+D267+D273+D281+D287+D290+D294</f>
        <v>2734462.09</v>
      </c>
      <c r="E255" s="193">
        <f t="shared" ref="E255:P255" si="97">+E256+E267+E273+E281+E287+E290+E294</f>
        <v>0</v>
      </c>
      <c r="F255" s="193">
        <f t="shared" si="97"/>
        <v>0</v>
      </c>
      <c r="G255" s="193">
        <f>+G256+G267+G273+G281+G287+G290+G294</f>
        <v>1100000</v>
      </c>
      <c r="H255" s="193">
        <f t="shared" si="97"/>
        <v>0</v>
      </c>
      <c r="I255" s="193">
        <f t="shared" si="97"/>
        <v>0</v>
      </c>
      <c r="J255" s="193">
        <f t="shared" ref="J255" si="98">+J256+J267+J273+J281+J287+J290+J294</f>
        <v>0</v>
      </c>
      <c r="K255" s="193">
        <f t="shared" si="97"/>
        <v>0</v>
      </c>
      <c r="L255" s="193">
        <f t="shared" si="97"/>
        <v>0</v>
      </c>
      <c r="M255" s="193">
        <f t="shared" si="97"/>
        <v>0</v>
      </c>
      <c r="N255" s="193">
        <f t="shared" si="97"/>
        <v>5300000</v>
      </c>
      <c r="O255" s="193">
        <f t="shared" si="97"/>
        <v>0</v>
      </c>
      <c r="P255" s="193">
        <f t="shared" si="97"/>
        <v>0</v>
      </c>
      <c r="Q255" s="191">
        <f t="shared" si="82"/>
        <v>9184462.0899999999</v>
      </c>
    </row>
    <row r="256" spans="1:17" ht="15.75" customHeight="1">
      <c r="A256" s="181" t="s">
        <v>274</v>
      </c>
      <c r="B256" s="181" t="s">
        <v>275</v>
      </c>
      <c r="C256" s="193">
        <f>SUM(C257:C265)</f>
        <v>0</v>
      </c>
      <c r="D256" s="193">
        <f>SUM(D257:D265)</f>
        <v>0</v>
      </c>
      <c r="E256" s="193">
        <f t="shared" ref="E256:P256" si="99">SUM(E257:E265)</f>
        <v>0</v>
      </c>
      <c r="F256" s="193">
        <f t="shared" si="99"/>
        <v>0</v>
      </c>
      <c r="G256" s="193">
        <f>SUM(G257:G265)</f>
        <v>0</v>
      </c>
      <c r="H256" s="193">
        <f t="shared" si="99"/>
        <v>0</v>
      </c>
      <c r="I256" s="193">
        <f t="shared" si="99"/>
        <v>0</v>
      </c>
      <c r="J256" s="193">
        <f t="shared" ref="J256" si="100">SUM(J257:J265)</f>
        <v>0</v>
      </c>
      <c r="K256" s="193">
        <f t="shared" si="99"/>
        <v>0</v>
      </c>
      <c r="L256" s="193">
        <f t="shared" si="99"/>
        <v>0</v>
      </c>
      <c r="M256" s="193">
        <f t="shared" si="99"/>
        <v>0</v>
      </c>
      <c r="N256" s="193">
        <f t="shared" si="99"/>
        <v>5000000</v>
      </c>
      <c r="O256" s="193">
        <f t="shared" si="99"/>
        <v>0</v>
      </c>
      <c r="P256" s="193">
        <f t="shared" si="99"/>
        <v>0</v>
      </c>
      <c r="Q256" s="191">
        <f t="shared" si="82"/>
        <v>5000000</v>
      </c>
    </row>
    <row r="257" spans="1:17" ht="15.75" customHeight="1">
      <c r="A257" s="184" t="s">
        <v>815</v>
      </c>
      <c r="B257" s="184" t="s">
        <v>824</v>
      </c>
      <c r="C257" s="193"/>
      <c r="D257" s="193"/>
      <c r="E257" s="193"/>
      <c r="F257" s="193"/>
      <c r="G257" s="193"/>
      <c r="H257" s="193"/>
      <c r="I257" s="193"/>
      <c r="J257" s="193"/>
      <c r="K257" s="193"/>
      <c r="L257" s="193"/>
      <c r="M257" s="381"/>
      <c r="N257" s="193"/>
      <c r="O257" s="193"/>
      <c r="P257" s="193"/>
      <c r="Q257" s="191">
        <f t="shared" si="82"/>
        <v>0</v>
      </c>
    </row>
    <row r="258" spans="1:17" ht="15.75" customHeight="1">
      <c r="A258" s="184" t="s">
        <v>816</v>
      </c>
      <c r="B258" s="184" t="s">
        <v>825</v>
      </c>
      <c r="C258" s="193"/>
      <c r="D258" s="193"/>
      <c r="E258" s="193"/>
      <c r="F258" s="193"/>
      <c r="G258" s="193"/>
      <c r="H258" s="193"/>
      <c r="I258" s="193"/>
      <c r="J258" s="193"/>
      <c r="K258" s="193"/>
      <c r="L258" s="193"/>
      <c r="M258" s="381"/>
      <c r="N258" s="193">
        <v>5000000</v>
      </c>
      <c r="O258" s="193"/>
      <c r="P258" s="193"/>
      <c r="Q258" s="191">
        <f t="shared" si="82"/>
        <v>5000000</v>
      </c>
    </row>
    <row r="259" spans="1:17" ht="15.75" customHeight="1">
      <c r="A259" s="184" t="s">
        <v>817</v>
      </c>
      <c r="B259" s="184" t="s">
        <v>826</v>
      </c>
      <c r="C259" s="193"/>
      <c r="D259" s="193"/>
      <c r="E259" s="193"/>
      <c r="F259" s="193"/>
      <c r="G259" s="193"/>
      <c r="H259" s="193"/>
      <c r="I259" s="193"/>
      <c r="J259" s="193"/>
      <c r="K259" s="193"/>
      <c r="L259" s="193"/>
      <c r="M259" s="381"/>
      <c r="N259" s="193"/>
      <c r="O259" s="193"/>
      <c r="P259" s="193"/>
      <c r="Q259" s="191">
        <f t="shared" si="82"/>
        <v>0</v>
      </c>
    </row>
    <row r="260" spans="1:17" ht="15.75" customHeight="1">
      <c r="A260" s="184" t="s">
        <v>818</v>
      </c>
      <c r="B260" s="184" t="s">
        <v>827</v>
      </c>
      <c r="C260" s="193"/>
      <c r="D260" s="193"/>
      <c r="E260" s="193"/>
      <c r="F260" s="193"/>
      <c r="G260" s="193"/>
      <c r="H260" s="193"/>
      <c r="I260" s="193"/>
      <c r="J260" s="193"/>
      <c r="K260" s="193"/>
      <c r="L260" s="193"/>
      <c r="M260" s="381"/>
      <c r="N260" s="193"/>
      <c r="O260" s="193"/>
      <c r="P260" s="193"/>
      <c r="Q260" s="191">
        <f t="shared" si="82"/>
        <v>0</v>
      </c>
    </row>
    <row r="261" spans="1:17" ht="15.75" customHeight="1">
      <c r="A261" s="184" t="s">
        <v>819</v>
      </c>
      <c r="B261" s="184" t="s">
        <v>828</v>
      </c>
      <c r="C261" s="193"/>
      <c r="D261" s="193"/>
      <c r="E261" s="193"/>
      <c r="F261" s="193"/>
      <c r="G261" s="193"/>
      <c r="H261" s="193"/>
      <c r="I261" s="193"/>
      <c r="J261" s="193"/>
      <c r="K261" s="193"/>
      <c r="L261" s="193"/>
      <c r="M261" s="381"/>
      <c r="N261" s="193"/>
      <c r="O261" s="193"/>
      <c r="P261" s="193"/>
      <c r="Q261" s="191">
        <f t="shared" si="82"/>
        <v>0</v>
      </c>
    </row>
    <row r="262" spans="1:17" ht="15.75" customHeight="1">
      <c r="A262" s="184" t="s">
        <v>820</v>
      </c>
      <c r="B262" s="184" t="s">
        <v>829</v>
      </c>
      <c r="C262" s="193"/>
      <c r="D262" s="193"/>
      <c r="E262" s="193"/>
      <c r="F262" s="193"/>
      <c r="G262" s="193"/>
      <c r="H262" s="193"/>
      <c r="I262" s="193"/>
      <c r="J262" s="193"/>
      <c r="K262" s="193"/>
      <c r="L262" s="193"/>
      <c r="M262" s="381"/>
      <c r="N262" s="193"/>
      <c r="O262" s="193"/>
      <c r="P262" s="193"/>
      <c r="Q262" s="191">
        <f t="shared" si="82"/>
        <v>0</v>
      </c>
    </row>
    <row r="263" spans="1:17" ht="15.75" customHeight="1">
      <c r="A263" s="184" t="s">
        <v>821</v>
      </c>
      <c r="B263" s="184" t="s">
        <v>830</v>
      </c>
      <c r="C263" s="193"/>
      <c r="D263" s="193"/>
      <c r="E263" s="193"/>
      <c r="F263" s="193"/>
      <c r="G263" s="193"/>
      <c r="H263" s="193"/>
      <c r="I263" s="193"/>
      <c r="J263" s="193"/>
      <c r="K263" s="193"/>
      <c r="L263" s="193"/>
      <c r="M263" s="381"/>
      <c r="N263" s="193"/>
      <c r="O263" s="193"/>
      <c r="P263" s="193"/>
      <c r="Q263" s="191">
        <f t="shared" si="82"/>
        <v>0</v>
      </c>
    </row>
    <row r="264" spans="1:17" ht="15.75" customHeight="1">
      <c r="A264" s="184" t="s">
        <v>822</v>
      </c>
      <c r="B264" s="184" t="s">
        <v>831</v>
      </c>
      <c r="C264" s="193"/>
      <c r="D264" s="193"/>
      <c r="E264" s="193"/>
      <c r="F264" s="193"/>
      <c r="G264" s="193"/>
      <c r="H264" s="193"/>
      <c r="I264" s="193"/>
      <c r="J264" s="193"/>
      <c r="K264" s="193"/>
      <c r="L264" s="193"/>
      <c r="M264" s="381"/>
      <c r="N264" s="193"/>
      <c r="O264" s="193"/>
      <c r="P264" s="193"/>
      <c r="Q264" s="191">
        <f t="shared" si="82"/>
        <v>0</v>
      </c>
    </row>
    <row r="265" spans="1:17" ht="15.75" customHeight="1">
      <c r="A265" s="184" t="s">
        <v>823</v>
      </c>
      <c r="B265" s="184" t="s">
        <v>832</v>
      </c>
      <c r="C265" s="193"/>
      <c r="D265" s="193"/>
      <c r="E265" s="193"/>
      <c r="F265" s="193"/>
      <c r="G265" s="193"/>
      <c r="H265" s="193"/>
      <c r="I265" s="193"/>
      <c r="J265" s="193"/>
      <c r="K265" s="193"/>
      <c r="L265" s="193"/>
      <c r="M265" s="381"/>
      <c r="N265" s="193"/>
      <c r="O265" s="193"/>
      <c r="P265" s="193"/>
      <c r="Q265" s="191">
        <f t="shared" si="82"/>
        <v>0</v>
      </c>
    </row>
    <row r="266" spans="1:17" ht="15.75" customHeight="1">
      <c r="A266" s="183"/>
      <c r="B266" s="186"/>
      <c r="C266" s="193"/>
      <c r="D266" s="193"/>
      <c r="E266" s="193"/>
      <c r="F266" s="193"/>
      <c r="G266" s="193"/>
      <c r="H266" s="193"/>
      <c r="I266" s="193"/>
      <c r="J266" s="193"/>
      <c r="K266" s="193"/>
      <c r="L266" s="193"/>
      <c r="M266" s="381"/>
      <c r="N266" s="193"/>
      <c r="O266" s="193"/>
      <c r="P266" s="193"/>
      <c r="Q266" s="191">
        <f t="shared" ref="Q266:Q329" si="101">SUM(C266:P266)</f>
        <v>0</v>
      </c>
    </row>
    <row r="267" spans="1:17" ht="15.75" customHeight="1">
      <c r="A267" s="181" t="s">
        <v>276</v>
      </c>
      <c r="B267" s="181" t="s">
        <v>277</v>
      </c>
      <c r="C267" s="193">
        <f>SUM(C268:C271)</f>
        <v>50000</v>
      </c>
      <c r="D267" s="193">
        <f>SUM(D268:D271)</f>
        <v>100000</v>
      </c>
      <c r="E267" s="193">
        <f t="shared" ref="E267:P267" si="102">SUM(E268:E271)</f>
        <v>0</v>
      </c>
      <c r="F267" s="193">
        <f t="shared" si="102"/>
        <v>0</v>
      </c>
      <c r="G267" s="193">
        <f>SUM(G268:G271)</f>
        <v>100000</v>
      </c>
      <c r="H267" s="193">
        <f t="shared" si="102"/>
        <v>0</v>
      </c>
      <c r="I267" s="193">
        <f t="shared" si="102"/>
        <v>0</v>
      </c>
      <c r="J267" s="193">
        <f t="shared" ref="J267" si="103">SUM(J268:J271)</f>
        <v>0</v>
      </c>
      <c r="K267" s="193">
        <f t="shared" si="102"/>
        <v>0</v>
      </c>
      <c r="L267" s="193">
        <f t="shared" si="102"/>
        <v>0</v>
      </c>
      <c r="M267" s="193">
        <f t="shared" si="102"/>
        <v>0</v>
      </c>
      <c r="N267" s="193">
        <f t="shared" si="102"/>
        <v>300000</v>
      </c>
      <c r="O267" s="193">
        <f t="shared" si="102"/>
        <v>0</v>
      </c>
      <c r="P267" s="193">
        <f t="shared" si="102"/>
        <v>0</v>
      </c>
      <c r="Q267" s="191">
        <f t="shared" si="101"/>
        <v>550000</v>
      </c>
    </row>
    <row r="268" spans="1:17" ht="15.75" customHeight="1">
      <c r="A268" s="184" t="s">
        <v>772</v>
      </c>
      <c r="B268" s="184" t="s">
        <v>776</v>
      </c>
      <c r="C268" s="193"/>
      <c r="D268" s="193"/>
      <c r="E268" s="193"/>
      <c r="F268" s="193"/>
      <c r="G268" s="193"/>
      <c r="H268" s="193"/>
      <c r="I268" s="193"/>
      <c r="J268" s="193"/>
      <c r="K268" s="193"/>
      <c r="L268" s="193"/>
      <c r="M268" s="381"/>
      <c r="N268" s="193"/>
      <c r="O268" s="193"/>
      <c r="P268" s="193"/>
      <c r="Q268" s="191">
        <f t="shared" si="101"/>
        <v>0</v>
      </c>
    </row>
    <row r="269" spans="1:17" ht="15.75" customHeight="1">
      <c r="A269" s="184" t="s">
        <v>773</v>
      </c>
      <c r="B269" s="184" t="s">
        <v>777</v>
      </c>
      <c r="C269" s="193"/>
      <c r="D269" s="193"/>
      <c r="E269" s="193"/>
      <c r="F269" s="193"/>
      <c r="G269" s="193"/>
      <c r="H269" s="193"/>
      <c r="I269" s="193"/>
      <c r="J269" s="193"/>
      <c r="K269" s="193"/>
      <c r="L269" s="193"/>
      <c r="M269" s="381"/>
      <c r="N269" s="193"/>
      <c r="O269" s="193"/>
      <c r="P269" s="193"/>
      <c r="Q269" s="191">
        <f t="shared" si="101"/>
        <v>0</v>
      </c>
    </row>
    <row r="270" spans="1:17" ht="15.75" customHeight="1">
      <c r="A270" s="184" t="s">
        <v>774</v>
      </c>
      <c r="B270" s="184" t="s">
        <v>778</v>
      </c>
      <c r="C270" s="812">
        <v>50000</v>
      </c>
      <c r="D270" s="812">
        <v>100000</v>
      </c>
      <c r="E270" s="193"/>
      <c r="F270" s="193"/>
      <c r="G270" s="812">
        <v>100000</v>
      </c>
      <c r="H270" s="193"/>
      <c r="I270" s="193"/>
      <c r="J270" s="193"/>
      <c r="K270" s="193"/>
      <c r="L270" s="193"/>
      <c r="M270" s="381"/>
      <c r="N270" s="193">
        <v>300000</v>
      </c>
      <c r="O270" s="193"/>
      <c r="P270" s="193"/>
      <c r="Q270" s="191">
        <f t="shared" si="101"/>
        <v>550000</v>
      </c>
    </row>
    <row r="271" spans="1:17" ht="15.75" customHeight="1">
      <c r="A271" s="184" t="s">
        <v>775</v>
      </c>
      <c r="B271" s="184" t="s">
        <v>779</v>
      </c>
      <c r="C271" s="193"/>
      <c r="D271" s="193"/>
      <c r="E271" s="193"/>
      <c r="F271" s="193"/>
      <c r="G271" s="193"/>
      <c r="H271" s="193"/>
      <c r="I271" s="193"/>
      <c r="J271" s="193"/>
      <c r="K271" s="193"/>
      <c r="L271" s="193"/>
      <c r="M271" s="381"/>
      <c r="N271" s="193"/>
      <c r="O271" s="193"/>
      <c r="P271" s="193"/>
      <c r="Q271" s="191">
        <f t="shared" si="101"/>
        <v>0</v>
      </c>
    </row>
    <row r="272" spans="1:17" ht="15.75" customHeight="1">
      <c r="A272" s="183"/>
      <c r="B272" s="186"/>
      <c r="C272" s="193"/>
      <c r="D272" s="193"/>
      <c r="E272" s="193"/>
      <c r="F272" s="193"/>
      <c r="G272" s="193"/>
      <c r="H272" s="193"/>
      <c r="I272" s="193"/>
      <c r="J272" s="193"/>
      <c r="K272" s="193"/>
      <c r="L272" s="193"/>
      <c r="M272" s="381"/>
      <c r="N272" s="193"/>
      <c r="O272" s="193"/>
      <c r="P272" s="193"/>
      <c r="Q272" s="191">
        <f t="shared" si="101"/>
        <v>0</v>
      </c>
    </row>
    <row r="273" spans="1:17" ht="15.75" customHeight="1">
      <c r="A273" s="181" t="s">
        <v>278</v>
      </c>
      <c r="B273" s="181" t="s">
        <v>279</v>
      </c>
      <c r="C273" s="193">
        <f>SUM(C274:C279)</f>
        <v>0</v>
      </c>
      <c r="D273" s="193">
        <f>SUM(D274:D279)</f>
        <v>634462.09</v>
      </c>
      <c r="E273" s="193">
        <f t="shared" ref="E273:P273" si="104">SUM(E274:E279)</f>
        <v>0</v>
      </c>
      <c r="F273" s="193">
        <f t="shared" si="104"/>
        <v>0</v>
      </c>
      <c r="G273" s="193">
        <f>SUM(G274:G279)</f>
        <v>1000000</v>
      </c>
      <c r="H273" s="193">
        <f t="shared" si="104"/>
        <v>0</v>
      </c>
      <c r="I273" s="193">
        <f t="shared" si="104"/>
        <v>0</v>
      </c>
      <c r="J273" s="193">
        <f t="shared" ref="J273" si="105">SUM(J274:J279)</f>
        <v>0</v>
      </c>
      <c r="K273" s="193">
        <f t="shared" si="104"/>
        <v>0</v>
      </c>
      <c r="L273" s="193">
        <f t="shared" si="104"/>
        <v>0</v>
      </c>
      <c r="M273" s="193">
        <f t="shared" si="104"/>
        <v>0</v>
      </c>
      <c r="N273" s="193">
        <f t="shared" si="104"/>
        <v>0</v>
      </c>
      <c r="O273" s="193">
        <f t="shared" si="104"/>
        <v>0</v>
      </c>
      <c r="P273" s="193">
        <f t="shared" si="104"/>
        <v>0</v>
      </c>
      <c r="Q273" s="191">
        <f t="shared" si="101"/>
        <v>1634462.0899999999</v>
      </c>
    </row>
    <row r="274" spans="1:17" ht="15.75" customHeight="1">
      <c r="A274" s="184" t="s">
        <v>780</v>
      </c>
      <c r="B274" s="184" t="s">
        <v>786</v>
      </c>
      <c r="C274" s="812">
        <v>0</v>
      </c>
      <c r="D274" s="812">
        <v>634462.09</v>
      </c>
      <c r="E274" s="193"/>
      <c r="F274" s="193"/>
      <c r="G274" s="812">
        <v>1000000</v>
      </c>
      <c r="H274" s="193"/>
      <c r="I274" s="193"/>
      <c r="J274" s="193"/>
      <c r="K274" s="193"/>
      <c r="L274" s="193">
        <v>0</v>
      </c>
      <c r="M274" s="381"/>
      <c r="N274" s="193">
        <v>0</v>
      </c>
      <c r="O274" s="193">
        <v>0</v>
      </c>
      <c r="P274" s="193"/>
      <c r="Q274" s="191">
        <f t="shared" si="101"/>
        <v>1634462.0899999999</v>
      </c>
    </row>
    <row r="275" spans="1:17" ht="15.75" customHeight="1">
      <c r="A275" s="184" t="s">
        <v>781</v>
      </c>
      <c r="B275" s="184" t="s">
        <v>787</v>
      </c>
      <c r="C275" s="193"/>
      <c r="D275" s="193"/>
      <c r="E275" s="193"/>
      <c r="F275" s="193"/>
      <c r="G275" s="193"/>
      <c r="H275" s="193"/>
      <c r="I275" s="193"/>
      <c r="J275" s="193"/>
      <c r="K275" s="193"/>
      <c r="L275" s="193"/>
      <c r="M275" s="381"/>
      <c r="N275" s="193"/>
      <c r="O275" s="193"/>
      <c r="P275" s="193"/>
      <c r="Q275" s="191">
        <f t="shared" si="101"/>
        <v>0</v>
      </c>
    </row>
    <row r="276" spans="1:17" ht="15.75" customHeight="1">
      <c r="A276" s="184" t="s">
        <v>782</v>
      </c>
      <c r="B276" s="184" t="s">
        <v>788</v>
      </c>
      <c r="C276" s="193"/>
      <c r="D276" s="193"/>
      <c r="E276" s="193"/>
      <c r="F276" s="193"/>
      <c r="G276" s="193"/>
      <c r="H276" s="193"/>
      <c r="I276" s="193"/>
      <c r="J276" s="193"/>
      <c r="K276" s="193"/>
      <c r="L276" s="193"/>
      <c r="M276" s="381"/>
      <c r="N276" s="193"/>
      <c r="O276" s="193"/>
      <c r="P276" s="193"/>
      <c r="Q276" s="191">
        <f t="shared" si="101"/>
        <v>0</v>
      </c>
    </row>
    <row r="277" spans="1:17" ht="15.75" customHeight="1">
      <c r="A277" s="184" t="s">
        <v>783</v>
      </c>
      <c r="B277" s="184" t="s">
        <v>789</v>
      </c>
      <c r="C277" s="193"/>
      <c r="D277" s="193"/>
      <c r="E277" s="193"/>
      <c r="F277" s="193"/>
      <c r="G277" s="193"/>
      <c r="H277" s="193"/>
      <c r="I277" s="193"/>
      <c r="J277" s="193"/>
      <c r="K277" s="193"/>
      <c r="L277" s="193"/>
      <c r="M277" s="381"/>
      <c r="N277" s="193"/>
      <c r="O277" s="193"/>
      <c r="P277" s="193"/>
      <c r="Q277" s="191">
        <f t="shared" si="101"/>
        <v>0</v>
      </c>
    </row>
    <row r="278" spans="1:17" ht="15.75" customHeight="1">
      <c r="A278" s="184" t="s">
        <v>784</v>
      </c>
      <c r="B278" s="184" t="s">
        <v>791</v>
      </c>
      <c r="C278" s="193"/>
      <c r="D278" s="193"/>
      <c r="E278" s="193"/>
      <c r="F278" s="193"/>
      <c r="G278" s="193"/>
      <c r="H278" s="193"/>
      <c r="I278" s="193"/>
      <c r="J278" s="193"/>
      <c r="K278" s="193"/>
      <c r="L278" s="193"/>
      <c r="M278" s="381"/>
      <c r="N278" s="193"/>
      <c r="O278" s="193"/>
      <c r="P278" s="193"/>
      <c r="Q278" s="191">
        <f t="shared" si="101"/>
        <v>0</v>
      </c>
    </row>
    <row r="279" spans="1:17" ht="15.75" customHeight="1">
      <c r="A279" s="184" t="s">
        <v>785</v>
      </c>
      <c r="B279" s="184" t="s">
        <v>792</v>
      </c>
      <c r="C279" s="193"/>
      <c r="D279" s="193"/>
      <c r="E279" s="193"/>
      <c r="F279" s="193"/>
      <c r="G279" s="193"/>
      <c r="H279" s="193"/>
      <c r="I279" s="193"/>
      <c r="J279" s="193"/>
      <c r="K279" s="193"/>
      <c r="L279" s="193"/>
      <c r="M279" s="381"/>
      <c r="N279" s="193"/>
      <c r="O279" s="193"/>
      <c r="P279" s="193"/>
      <c r="Q279" s="191">
        <f t="shared" si="101"/>
        <v>0</v>
      </c>
    </row>
    <row r="280" spans="1:17" ht="15.75" customHeight="1">
      <c r="A280" s="183"/>
      <c r="B280" s="186"/>
      <c r="C280" s="193"/>
      <c r="D280" s="193"/>
      <c r="E280" s="193"/>
      <c r="F280" s="193"/>
      <c r="G280" s="193"/>
      <c r="H280" s="193"/>
      <c r="I280" s="193"/>
      <c r="J280" s="193"/>
      <c r="K280" s="193"/>
      <c r="L280" s="193"/>
      <c r="M280" s="381"/>
      <c r="N280" s="193"/>
      <c r="O280" s="193"/>
      <c r="P280" s="193"/>
      <c r="Q280" s="191">
        <f t="shared" si="101"/>
        <v>0</v>
      </c>
    </row>
    <row r="281" spans="1:17" ht="15.75" customHeight="1">
      <c r="A281" s="181" t="s">
        <v>793</v>
      </c>
      <c r="B281" s="181" t="s">
        <v>794</v>
      </c>
      <c r="C281" s="193">
        <f>SUM(C282:C285)</f>
        <v>0</v>
      </c>
      <c r="D281" s="193">
        <f>SUM(D282:D285)</f>
        <v>0</v>
      </c>
      <c r="E281" s="193">
        <f t="shared" ref="E281:P281" si="106">SUM(E282:E285)</f>
        <v>0</v>
      </c>
      <c r="F281" s="193">
        <f t="shared" si="106"/>
        <v>0</v>
      </c>
      <c r="G281" s="193">
        <f>SUM(G282:G285)</f>
        <v>0</v>
      </c>
      <c r="H281" s="193">
        <f t="shared" si="106"/>
        <v>0</v>
      </c>
      <c r="I281" s="193">
        <f t="shared" si="106"/>
        <v>0</v>
      </c>
      <c r="J281" s="193">
        <f t="shared" ref="J281" si="107">SUM(J282:J285)</f>
        <v>0</v>
      </c>
      <c r="K281" s="193">
        <f t="shared" si="106"/>
        <v>0</v>
      </c>
      <c r="L281" s="193">
        <f t="shared" si="106"/>
        <v>0</v>
      </c>
      <c r="M281" s="193">
        <f t="shared" si="106"/>
        <v>0</v>
      </c>
      <c r="N281" s="193">
        <f t="shared" si="106"/>
        <v>0</v>
      </c>
      <c r="O281" s="193">
        <f t="shared" si="106"/>
        <v>0</v>
      </c>
      <c r="P281" s="193">
        <f t="shared" si="106"/>
        <v>0</v>
      </c>
      <c r="Q281" s="191">
        <f t="shared" si="101"/>
        <v>0</v>
      </c>
    </row>
    <row r="282" spans="1:17" ht="15.75" customHeight="1">
      <c r="A282" s="184" t="s">
        <v>795</v>
      </c>
      <c r="B282" s="184" t="s">
        <v>799</v>
      </c>
      <c r="C282" s="193"/>
      <c r="D282" s="193"/>
      <c r="E282" s="193"/>
      <c r="F282" s="193"/>
      <c r="G282" s="193"/>
      <c r="H282" s="193"/>
      <c r="I282" s="193"/>
      <c r="J282" s="193"/>
      <c r="K282" s="193"/>
      <c r="L282" s="193"/>
      <c r="M282" s="381"/>
      <c r="N282" s="193"/>
      <c r="O282" s="193"/>
      <c r="P282" s="193"/>
      <c r="Q282" s="191">
        <f t="shared" si="101"/>
        <v>0</v>
      </c>
    </row>
    <row r="283" spans="1:17" ht="15.75" customHeight="1">
      <c r="A283" s="184" t="s">
        <v>796</v>
      </c>
      <c r="B283" s="184" t="s">
        <v>800</v>
      </c>
      <c r="C283" s="193"/>
      <c r="D283" s="193"/>
      <c r="E283" s="193"/>
      <c r="F283" s="193"/>
      <c r="G283" s="193"/>
      <c r="H283" s="193"/>
      <c r="I283" s="193"/>
      <c r="J283" s="193"/>
      <c r="K283" s="193"/>
      <c r="L283" s="193"/>
      <c r="M283" s="381"/>
      <c r="N283" s="193"/>
      <c r="O283" s="193"/>
      <c r="P283" s="193"/>
      <c r="Q283" s="191">
        <f t="shared" si="101"/>
        <v>0</v>
      </c>
    </row>
    <row r="284" spans="1:17" ht="15.75" customHeight="1">
      <c r="A284" s="184" t="s">
        <v>797</v>
      </c>
      <c r="B284" s="184" t="s">
        <v>801</v>
      </c>
      <c r="C284" s="193"/>
      <c r="D284" s="193"/>
      <c r="E284" s="193"/>
      <c r="F284" s="193"/>
      <c r="G284" s="193"/>
      <c r="H284" s="193"/>
      <c r="I284" s="193"/>
      <c r="J284" s="193"/>
      <c r="K284" s="193"/>
      <c r="L284" s="193"/>
      <c r="M284" s="381"/>
      <c r="N284" s="193"/>
      <c r="O284" s="193"/>
      <c r="P284" s="193"/>
      <c r="Q284" s="191">
        <f t="shared" si="101"/>
        <v>0</v>
      </c>
    </row>
    <row r="285" spans="1:17" ht="15.75" customHeight="1">
      <c r="A285" s="184" t="s">
        <v>798</v>
      </c>
      <c r="B285" s="184" t="s">
        <v>802</v>
      </c>
      <c r="C285" s="193"/>
      <c r="D285" s="193"/>
      <c r="E285" s="193"/>
      <c r="F285" s="193"/>
      <c r="G285" s="193"/>
      <c r="H285" s="193"/>
      <c r="I285" s="193"/>
      <c r="J285" s="193"/>
      <c r="K285" s="193"/>
      <c r="L285" s="193"/>
      <c r="M285" s="381"/>
      <c r="N285" s="193"/>
      <c r="O285" s="193"/>
      <c r="P285" s="193"/>
      <c r="Q285" s="191">
        <f t="shared" si="101"/>
        <v>0</v>
      </c>
    </row>
    <row r="286" spans="1:17" ht="15.75" customHeight="1">
      <c r="A286" s="184"/>
      <c r="B286" s="184"/>
      <c r="C286" s="193"/>
      <c r="D286" s="193"/>
      <c r="E286" s="193"/>
      <c r="F286" s="193"/>
      <c r="G286" s="193"/>
      <c r="H286" s="193"/>
      <c r="I286" s="193"/>
      <c r="J286" s="193"/>
      <c r="K286" s="193"/>
      <c r="L286" s="193"/>
      <c r="M286" s="381"/>
      <c r="N286" s="193"/>
      <c r="O286" s="193"/>
      <c r="P286" s="193"/>
      <c r="Q286" s="191">
        <f t="shared" si="101"/>
        <v>0</v>
      </c>
    </row>
    <row r="287" spans="1:17" ht="15.75" customHeight="1">
      <c r="A287" s="181" t="s">
        <v>803</v>
      </c>
      <c r="B287" s="181" t="s">
        <v>804</v>
      </c>
      <c r="C287" s="193">
        <f>SUM(C288)</f>
        <v>0</v>
      </c>
      <c r="D287" s="193">
        <f>SUM(D288)</f>
        <v>0</v>
      </c>
      <c r="E287" s="193">
        <f t="shared" ref="E287:P287" si="108">SUM(E288)</f>
        <v>0</v>
      </c>
      <c r="F287" s="193">
        <f t="shared" si="108"/>
        <v>0</v>
      </c>
      <c r="G287" s="193">
        <f>SUM(G288)</f>
        <v>0</v>
      </c>
      <c r="H287" s="193">
        <f t="shared" si="108"/>
        <v>0</v>
      </c>
      <c r="I287" s="193">
        <f t="shared" si="108"/>
        <v>0</v>
      </c>
      <c r="J287" s="193">
        <f t="shared" si="108"/>
        <v>0</v>
      </c>
      <c r="K287" s="193">
        <f t="shared" si="108"/>
        <v>0</v>
      </c>
      <c r="L287" s="193">
        <f t="shared" si="108"/>
        <v>0</v>
      </c>
      <c r="M287" s="193">
        <f t="shared" si="108"/>
        <v>0</v>
      </c>
      <c r="N287" s="193">
        <f t="shared" si="108"/>
        <v>0</v>
      </c>
      <c r="O287" s="193">
        <f t="shared" si="108"/>
        <v>0</v>
      </c>
      <c r="P287" s="193">
        <f t="shared" si="108"/>
        <v>0</v>
      </c>
      <c r="Q287" s="191">
        <f t="shared" si="101"/>
        <v>0</v>
      </c>
    </row>
    <row r="288" spans="1:17" ht="15.75" customHeight="1">
      <c r="A288" s="184" t="s">
        <v>806</v>
      </c>
      <c r="B288" s="184" t="s">
        <v>805</v>
      </c>
      <c r="C288" s="193"/>
      <c r="D288" s="193"/>
      <c r="E288" s="193"/>
      <c r="F288" s="193"/>
      <c r="G288" s="193"/>
      <c r="H288" s="193"/>
      <c r="I288" s="193"/>
      <c r="J288" s="193"/>
      <c r="K288" s="193"/>
      <c r="L288" s="193"/>
      <c r="M288" s="193"/>
      <c r="N288" s="193"/>
      <c r="O288" s="193"/>
      <c r="P288" s="193"/>
      <c r="Q288" s="191">
        <f t="shared" si="101"/>
        <v>0</v>
      </c>
    </row>
    <row r="289" spans="1:17" ht="15.75" customHeight="1">
      <c r="A289" s="183"/>
      <c r="B289" s="186"/>
      <c r="C289" s="193"/>
      <c r="D289" s="193"/>
      <c r="E289" s="193"/>
      <c r="F289" s="193"/>
      <c r="G289" s="193"/>
      <c r="H289" s="193"/>
      <c r="I289" s="193"/>
      <c r="J289" s="193"/>
      <c r="K289" s="193"/>
      <c r="L289" s="193"/>
      <c r="M289" s="193"/>
      <c r="N289" s="193"/>
      <c r="O289" s="193"/>
      <c r="P289" s="193"/>
      <c r="Q289" s="191">
        <f t="shared" si="101"/>
        <v>0</v>
      </c>
    </row>
    <row r="290" spans="1:17" ht="15.75" customHeight="1">
      <c r="A290" s="181" t="s">
        <v>280</v>
      </c>
      <c r="B290" s="181" t="s">
        <v>281</v>
      </c>
      <c r="C290" s="193">
        <f>SUM(C291:C292)</f>
        <v>0</v>
      </c>
      <c r="D290" s="193">
        <f>SUM(D291:D292)</f>
        <v>2000000</v>
      </c>
      <c r="E290" s="193">
        <f t="shared" ref="E290:P290" si="109">SUM(E291:E292)</f>
        <v>0</v>
      </c>
      <c r="F290" s="193">
        <f t="shared" si="109"/>
        <v>0</v>
      </c>
      <c r="G290" s="193">
        <f>SUM(G291:G292)</f>
        <v>0</v>
      </c>
      <c r="H290" s="193">
        <f t="shared" si="109"/>
        <v>0</v>
      </c>
      <c r="I290" s="193">
        <f t="shared" si="109"/>
        <v>0</v>
      </c>
      <c r="J290" s="193">
        <f t="shared" ref="J290" si="110">SUM(J291:J292)</f>
        <v>0</v>
      </c>
      <c r="K290" s="193">
        <f t="shared" si="109"/>
        <v>0</v>
      </c>
      <c r="L290" s="193">
        <f t="shared" si="109"/>
        <v>0</v>
      </c>
      <c r="M290" s="193">
        <f t="shared" si="109"/>
        <v>0</v>
      </c>
      <c r="N290" s="193">
        <f t="shared" si="109"/>
        <v>0</v>
      </c>
      <c r="O290" s="193">
        <f t="shared" si="109"/>
        <v>0</v>
      </c>
      <c r="P290" s="193">
        <f t="shared" si="109"/>
        <v>0</v>
      </c>
      <c r="Q290" s="191">
        <f t="shared" si="101"/>
        <v>2000000</v>
      </c>
    </row>
    <row r="291" spans="1:17" ht="28.5" customHeight="1">
      <c r="A291" s="184" t="s">
        <v>807</v>
      </c>
      <c r="B291" s="184" t="s">
        <v>809</v>
      </c>
      <c r="C291" s="193"/>
      <c r="D291" s="193">
        <v>2000000</v>
      </c>
      <c r="E291" s="193"/>
      <c r="F291" s="193"/>
      <c r="G291" s="193"/>
      <c r="H291" s="193"/>
      <c r="I291" s="193"/>
      <c r="J291" s="193"/>
      <c r="K291" s="193"/>
      <c r="L291" s="193"/>
      <c r="M291" s="193"/>
      <c r="N291" s="193">
        <v>0</v>
      </c>
      <c r="O291" s="193"/>
      <c r="P291" s="193"/>
      <c r="Q291" s="191">
        <f t="shared" si="101"/>
        <v>2000000</v>
      </c>
    </row>
    <row r="292" spans="1:17" ht="15.75" customHeight="1">
      <c r="A292" s="184" t="s">
        <v>808</v>
      </c>
      <c r="B292" s="184" t="s">
        <v>810</v>
      </c>
      <c r="C292" s="193"/>
      <c r="D292" s="193"/>
      <c r="E292" s="193"/>
      <c r="F292" s="193"/>
      <c r="G292" s="193"/>
      <c r="H292" s="193"/>
      <c r="I292" s="193"/>
      <c r="J292" s="193"/>
      <c r="K292" s="193"/>
      <c r="L292" s="193"/>
      <c r="M292" s="193"/>
      <c r="N292" s="193"/>
      <c r="O292" s="193"/>
      <c r="P292" s="193"/>
      <c r="Q292" s="191">
        <f t="shared" si="101"/>
        <v>0</v>
      </c>
    </row>
    <row r="293" spans="1:17" ht="15.75" customHeight="1">
      <c r="A293" s="183"/>
      <c r="B293" s="186"/>
      <c r="C293" s="193"/>
      <c r="D293" s="193"/>
      <c r="E293" s="193"/>
      <c r="F293" s="193"/>
      <c r="G293" s="193"/>
      <c r="H293" s="193"/>
      <c r="I293" s="193"/>
      <c r="J293" s="193"/>
      <c r="K293" s="193"/>
      <c r="L293" s="193"/>
      <c r="M293" s="193"/>
      <c r="N293" s="193"/>
      <c r="O293" s="193"/>
      <c r="P293" s="193"/>
      <c r="Q293" s="191">
        <f t="shared" si="101"/>
        <v>0</v>
      </c>
    </row>
    <row r="294" spans="1:17" ht="15.75" customHeight="1">
      <c r="A294" s="181" t="s">
        <v>282</v>
      </c>
      <c r="B294" s="181" t="s">
        <v>283</v>
      </c>
      <c r="C294" s="193">
        <f>SUM(C295:C296)</f>
        <v>0</v>
      </c>
      <c r="D294" s="193">
        <f>SUM(D295:D296)</f>
        <v>0</v>
      </c>
      <c r="E294" s="193">
        <f t="shared" ref="E294:P294" si="111">SUM(E295:E296)</f>
        <v>0</v>
      </c>
      <c r="F294" s="193">
        <f t="shared" si="111"/>
        <v>0</v>
      </c>
      <c r="G294" s="193">
        <f>SUM(G295:G296)</f>
        <v>0</v>
      </c>
      <c r="H294" s="193">
        <f t="shared" si="111"/>
        <v>0</v>
      </c>
      <c r="I294" s="193">
        <f t="shared" si="111"/>
        <v>0</v>
      </c>
      <c r="J294" s="193">
        <f t="shared" ref="J294" si="112">SUM(J295:J296)</f>
        <v>0</v>
      </c>
      <c r="K294" s="193">
        <f t="shared" si="111"/>
        <v>0</v>
      </c>
      <c r="L294" s="193">
        <f t="shared" si="111"/>
        <v>0</v>
      </c>
      <c r="M294" s="193">
        <f t="shared" si="111"/>
        <v>0</v>
      </c>
      <c r="N294" s="193">
        <f t="shared" si="111"/>
        <v>0</v>
      </c>
      <c r="O294" s="193">
        <f t="shared" si="111"/>
        <v>0</v>
      </c>
      <c r="P294" s="193">
        <f t="shared" si="111"/>
        <v>0</v>
      </c>
      <c r="Q294" s="191">
        <f t="shared" si="101"/>
        <v>0</v>
      </c>
    </row>
    <row r="295" spans="1:17" ht="15.75" customHeight="1">
      <c r="A295" s="184" t="s">
        <v>811</v>
      </c>
      <c r="B295" s="184" t="s">
        <v>813</v>
      </c>
      <c r="C295" s="193"/>
      <c r="D295" s="193"/>
      <c r="E295" s="193"/>
      <c r="F295" s="193"/>
      <c r="G295" s="193"/>
      <c r="H295" s="193"/>
      <c r="I295" s="193"/>
      <c r="J295" s="193"/>
      <c r="K295" s="193"/>
      <c r="L295" s="193"/>
      <c r="M295" s="193"/>
      <c r="N295" s="193"/>
      <c r="O295" s="193"/>
      <c r="P295" s="193"/>
      <c r="Q295" s="191">
        <f t="shared" si="101"/>
        <v>0</v>
      </c>
    </row>
    <row r="296" spans="1:17" ht="15.75" customHeight="1">
      <c r="A296" s="184" t="s">
        <v>812</v>
      </c>
      <c r="B296" s="184" t="s">
        <v>814</v>
      </c>
      <c r="C296" s="193"/>
      <c r="D296" s="193"/>
      <c r="E296" s="193"/>
      <c r="F296" s="193"/>
      <c r="G296" s="193"/>
      <c r="H296" s="193"/>
      <c r="I296" s="193"/>
      <c r="J296" s="193"/>
      <c r="K296" s="193"/>
      <c r="L296" s="193"/>
      <c r="M296" s="193"/>
      <c r="N296" s="193"/>
      <c r="O296" s="193"/>
      <c r="P296" s="193"/>
      <c r="Q296" s="191">
        <f t="shared" si="101"/>
        <v>0</v>
      </c>
    </row>
    <row r="297" spans="1:17" ht="15.75" customHeight="1">
      <c r="A297" s="183"/>
      <c r="B297" s="186"/>
      <c r="C297" s="193"/>
      <c r="D297" s="193"/>
      <c r="E297" s="193"/>
      <c r="F297" s="193"/>
      <c r="G297" s="193"/>
      <c r="H297" s="193"/>
      <c r="I297" s="193"/>
      <c r="J297" s="193"/>
      <c r="K297" s="193"/>
      <c r="L297" s="193"/>
      <c r="M297" s="193"/>
      <c r="N297" s="193"/>
      <c r="O297" s="193"/>
      <c r="P297" s="193"/>
      <c r="Q297" s="191">
        <f t="shared" si="101"/>
        <v>0</v>
      </c>
    </row>
    <row r="298" spans="1:17" ht="15.75" customHeight="1">
      <c r="A298" s="181">
        <v>7</v>
      </c>
      <c r="B298" s="181" t="s">
        <v>833</v>
      </c>
      <c r="C298" s="193">
        <f>+C299+C308+C311+C317+C320</f>
        <v>0</v>
      </c>
      <c r="D298" s="193">
        <f>+D299+D308+D311+D317+D320</f>
        <v>0</v>
      </c>
      <c r="E298" s="193">
        <f t="shared" ref="E298:P298" si="113">+E299+E308+E311+E317+E320</f>
        <v>0</v>
      </c>
      <c r="F298" s="193">
        <f t="shared" si="113"/>
        <v>0</v>
      </c>
      <c r="G298" s="193">
        <f>+G299+G308+G311+G317+G320</f>
        <v>0</v>
      </c>
      <c r="H298" s="193">
        <f t="shared" si="113"/>
        <v>0</v>
      </c>
      <c r="I298" s="193">
        <f t="shared" si="113"/>
        <v>0</v>
      </c>
      <c r="J298" s="193">
        <f t="shared" ref="J298" si="114">+J299+J308+J311+J317+J320</f>
        <v>0</v>
      </c>
      <c r="K298" s="193">
        <f t="shared" si="113"/>
        <v>0</v>
      </c>
      <c r="L298" s="193">
        <f t="shared" si="113"/>
        <v>0</v>
      </c>
      <c r="M298" s="193">
        <f t="shared" si="113"/>
        <v>0</v>
      </c>
      <c r="N298" s="193">
        <f t="shared" si="113"/>
        <v>0</v>
      </c>
      <c r="O298" s="193">
        <f t="shared" si="113"/>
        <v>0</v>
      </c>
      <c r="P298" s="193">
        <f t="shared" si="113"/>
        <v>0</v>
      </c>
      <c r="Q298" s="191">
        <f t="shared" si="101"/>
        <v>0</v>
      </c>
    </row>
    <row r="299" spans="1:17" ht="15.75" customHeight="1">
      <c r="A299" s="181" t="s">
        <v>284</v>
      </c>
      <c r="B299" s="181" t="s">
        <v>285</v>
      </c>
      <c r="C299" s="193">
        <f>SUM(C300:C306)</f>
        <v>0</v>
      </c>
      <c r="D299" s="193">
        <f>SUM(D300:D306)</f>
        <v>0</v>
      </c>
      <c r="E299" s="193">
        <f t="shared" ref="E299:P299" si="115">SUM(E300:E306)</f>
        <v>0</v>
      </c>
      <c r="F299" s="193">
        <f t="shared" si="115"/>
        <v>0</v>
      </c>
      <c r="G299" s="193">
        <f>SUM(G300:G306)</f>
        <v>0</v>
      </c>
      <c r="H299" s="193">
        <f t="shared" si="115"/>
        <v>0</v>
      </c>
      <c r="I299" s="193">
        <f t="shared" si="115"/>
        <v>0</v>
      </c>
      <c r="J299" s="193">
        <f t="shared" ref="J299" si="116">SUM(J300:J306)</f>
        <v>0</v>
      </c>
      <c r="K299" s="193">
        <f t="shared" si="115"/>
        <v>0</v>
      </c>
      <c r="L299" s="193">
        <f t="shared" si="115"/>
        <v>0</v>
      </c>
      <c r="M299" s="193">
        <f t="shared" si="115"/>
        <v>0</v>
      </c>
      <c r="N299" s="193">
        <f t="shared" si="115"/>
        <v>0</v>
      </c>
      <c r="O299" s="193">
        <f t="shared" si="115"/>
        <v>0</v>
      </c>
      <c r="P299" s="193">
        <f t="shared" si="115"/>
        <v>0</v>
      </c>
      <c r="Q299" s="191">
        <f t="shared" si="101"/>
        <v>0</v>
      </c>
    </row>
    <row r="300" spans="1:17" ht="15.75" customHeight="1">
      <c r="A300" s="184" t="s">
        <v>834</v>
      </c>
      <c r="B300" s="184" t="s">
        <v>840</v>
      </c>
      <c r="C300" s="193"/>
      <c r="D300" s="193"/>
      <c r="E300" s="193"/>
      <c r="F300" s="193"/>
      <c r="G300" s="193"/>
      <c r="H300" s="193"/>
      <c r="I300" s="193"/>
      <c r="J300" s="193"/>
      <c r="K300" s="193"/>
      <c r="L300" s="193"/>
      <c r="M300" s="193"/>
      <c r="N300" s="193"/>
      <c r="O300" s="193"/>
      <c r="P300" s="193"/>
      <c r="Q300" s="191">
        <f t="shared" si="101"/>
        <v>0</v>
      </c>
    </row>
    <row r="301" spans="1:17" ht="15.75" customHeight="1">
      <c r="A301" s="184" t="s">
        <v>835</v>
      </c>
      <c r="B301" s="184" t="s">
        <v>841</v>
      </c>
      <c r="C301" s="193"/>
      <c r="D301" s="193"/>
      <c r="E301" s="193"/>
      <c r="F301" s="193"/>
      <c r="G301" s="193"/>
      <c r="H301" s="193"/>
      <c r="I301" s="193"/>
      <c r="J301" s="193"/>
      <c r="K301" s="193"/>
      <c r="L301" s="193"/>
      <c r="M301" s="193"/>
      <c r="N301" s="193"/>
      <c r="O301" s="193"/>
      <c r="P301" s="193"/>
      <c r="Q301" s="191">
        <f t="shared" si="101"/>
        <v>0</v>
      </c>
    </row>
    <row r="302" spans="1:17" ht="15.75" customHeight="1">
      <c r="A302" s="184" t="s">
        <v>836</v>
      </c>
      <c r="B302" s="184" t="s">
        <v>842</v>
      </c>
      <c r="C302" s="193"/>
      <c r="D302" s="193"/>
      <c r="E302" s="193"/>
      <c r="F302" s="193"/>
      <c r="G302" s="193"/>
      <c r="H302" s="193"/>
      <c r="I302" s="193"/>
      <c r="J302" s="193"/>
      <c r="K302" s="193"/>
      <c r="L302" s="193"/>
      <c r="M302" s="193"/>
      <c r="N302" s="193"/>
      <c r="O302" s="193"/>
      <c r="P302" s="193"/>
      <c r="Q302" s="191">
        <f t="shared" si="101"/>
        <v>0</v>
      </c>
    </row>
    <row r="303" spans="1:17" ht="15.75" customHeight="1">
      <c r="A303" s="184" t="s">
        <v>837</v>
      </c>
      <c r="B303" s="184" t="s">
        <v>843</v>
      </c>
      <c r="C303" s="193"/>
      <c r="D303" s="193"/>
      <c r="E303" s="193"/>
      <c r="F303" s="193"/>
      <c r="G303" s="193"/>
      <c r="H303" s="193"/>
      <c r="I303" s="193"/>
      <c r="J303" s="193"/>
      <c r="K303" s="193"/>
      <c r="L303" s="193"/>
      <c r="M303" s="193"/>
      <c r="N303" s="193"/>
      <c r="O303" s="193"/>
      <c r="P303" s="193"/>
      <c r="Q303" s="191">
        <f t="shared" si="101"/>
        <v>0</v>
      </c>
    </row>
    <row r="304" spans="1:17" ht="15.75" customHeight="1">
      <c r="A304" s="184"/>
      <c r="B304" s="184" t="s">
        <v>844</v>
      </c>
      <c r="C304" s="193"/>
      <c r="D304" s="193"/>
      <c r="E304" s="193"/>
      <c r="F304" s="193"/>
      <c r="G304" s="193"/>
      <c r="H304" s="193"/>
      <c r="I304" s="193"/>
      <c r="J304" s="193"/>
      <c r="K304" s="193"/>
      <c r="L304" s="193"/>
      <c r="M304" s="193"/>
      <c r="N304" s="193"/>
      <c r="O304" s="193"/>
      <c r="P304" s="193"/>
      <c r="Q304" s="191">
        <f t="shared" si="101"/>
        <v>0</v>
      </c>
    </row>
    <row r="305" spans="1:17" ht="15.75" customHeight="1">
      <c r="A305" s="184" t="s">
        <v>838</v>
      </c>
      <c r="B305" s="184" t="s">
        <v>845</v>
      </c>
      <c r="C305" s="193"/>
      <c r="D305" s="193"/>
      <c r="E305" s="193"/>
      <c r="F305" s="193"/>
      <c r="G305" s="193"/>
      <c r="H305" s="193"/>
      <c r="I305" s="193"/>
      <c r="J305" s="193"/>
      <c r="K305" s="193"/>
      <c r="L305" s="193"/>
      <c r="M305" s="193"/>
      <c r="N305" s="193"/>
      <c r="O305" s="193"/>
      <c r="P305" s="193"/>
      <c r="Q305" s="191">
        <f t="shared" si="101"/>
        <v>0</v>
      </c>
    </row>
    <row r="306" spans="1:17" ht="15.75" customHeight="1">
      <c r="A306" s="184" t="s">
        <v>839</v>
      </c>
      <c r="B306" s="184" t="s">
        <v>846</v>
      </c>
      <c r="C306" s="193"/>
      <c r="D306" s="193"/>
      <c r="E306" s="193"/>
      <c r="F306" s="193"/>
      <c r="G306" s="193"/>
      <c r="H306" s="193"/>
      <c r="I306" s="193"/>
      <c r="J306" s="193"/>
      <c r="K306" s="193"/>
      <c r="L306" s="193"/>
      <c r="M306" s="193"/>
      <c r="N306" s="193"/>
      <c r="O306" s="193"/>
      <c r="P306" s="193"/>
      <c r="Q306" s="191">
        <f t="shared" si="101"/>
        <v>0</v>
      </c>
    </row>
    <row r="307" spans="1:17" ht="15.75" customHeight="1">
      <c r="A307" s="183"/>
      <c r="B307" s="186"/>
      <c r="C307" s="193"/>
      <c r="D307" s="193"/>
      <c r="E307" s="193"/>
      <c r="F307" s="193"/>
      <c r="G307" s="193"/>
      <c r="H307" s="193"/>
      <c r="I307" s="193"/>
      <c r="J307" s="193"/>
      <c r="K307" s="193"/>
      <c r="L307" s="193"/>
      <c r="M307" s="193"/>
      <c r="N307" s="193"/>
      <c r="O307" s="193"/>
      <c r="P307" s="193"/>
      <c r="Q307" s="191">
        <f t="shared" si="101"/>
        <v>0</v>
      </c>
    </row>
    <row r="308" spans="1:17" ht="15.75" customHeight="1">
      <c r="A308" s="181" t="s">
        <v>847</v>
      </c>
      <c r="B308" s="181" t="s">
        <v>848</v>
      </c>
      <c r="C308" s="193">
        <f>SUM(C309)</f>
        <v>0</v>
      </c>
      <c r="D308" s="193">
        <f>SUM(D309)</f>
        <v>0</v>
      </c>
      <c r="E308" s="193">
        <f t="shared" ref="E308:P308" si="117">SUM(E309)</f>
        <v>0</v>
      </c>
      <c r="F308" s="193">
        <f t="shared" si="117"/>
        <v>0</v>
      </c>
      <c r="G308" s="193">
        <f>SUM(G309)</f>
        <v>0</v>
      </c>
      <c r="H308" s="193">
        <f t="shared" si="117"/>
        <v>0</v>
      </c>
      <c r="I308" s="193">
        <f t="shared" si="117"/>
        <v>0</v>
      </c>
      <c r="J308" s="193">
        <f t="shared" si="117"/>
        <v>0</v>
      </c>
      <c r="K308" s="193">
        <f t="shared" si="117"/>
        <v>0</v>
      </c>
      <c r="L308" s="193">
        <f t="shared" si="117"/>
        <v>0</v>
      </c>
      <c r="M308" s="193">
        <f t="shared" si="117"/>
        <v>0</v>
      </c>
      <c r="N308" s="193">
        <f t="shared" si="117"/>
        <v>0</v>
      </c>
      <c r="O308" s="193">
        <f t="shared" si="117"/>
        <v>0</v>
      </c>
      <c r="P308" s="193">
        <f t="shared" si="117"/>
        <v>0</v>
      </c>
      <c r="Q308" s="191">
        <f t="shared" si="101"/>
        <v>0</v>
      </c>
    </row>
    <row r="309" spans="1:17" ht="15.75" customHeight="1">
      <c r="A309" s="184" t="s">
        <v>850</v>
      </c>
      <c r="B309" s="184" t="s">
        <v>849</v>
      </c>
      <c r="C309" s="193"/>
      <c r="D309" s="193"/>
      <c r="E309" s="193"/>
      <c r="F309" s="193"/>
      <c r="G309" s="193"/>
      <c r="H309" s="193"/>
      <c r="I309" s="193"/>
      <c r="J309" s="193"/>
      <c r="K309" s="193"/>
      <c r="L309" s="193"/>
      <c r="M309" s="193"/>
      <c r="N309" s="193"/>
      <c r="O309" s="193"/>
      <c r="P309" s="193"/>
      <c r="Q309" s="191">
        <f t="shared" si="101"/>
        <v>0</v>
      </c>
    </row>
    <row r="310" spans="1:17" ht="15.75" customHeight="1">
      <c r="A310" s="183"/>
      <c r="B310" s="186"/>
      <c r="C310" s="193"/>
      <c r="D310" s="193"/>
      <c r="E310" s="193"/>
      <c r="F310" s="193"/>
      <c r="G310" s="193"/>
      <c r="H310" s="193"/>
      <c r="I310" s="193"/>
      <c r="J310" s="193"/>
      <c r="K310" s="193"/>
      <c r="L310" s="193"/>
      <c r="M310" s="193"/>
      <c r="N310" s="193"/>
      <c r="O310" s="193"/>
      <c r="P310" s="193"/>
      <c r="Q310" s="191">
        <f t="shared" si="101"/>
        <v>0</v>
      </c>
    </row>
    <row r="311" spans="1:17" ht="15.75" customHeight="1">
      <c r="A311" s="181" t="s">
        <v>178</v>
      </c>
      <c r="B311" s="181" t="s">
        <v>851</v>
      </c>
      <c r="C311" s="193">
        <f>SUM(C312:C315)</f>
        <v>0</v>
      </c>
      <c r="D311" s="193">
        <f>SUM(D312:D315)</f>
        <v>0</v>
      </c>
      <c r="E311" s="193">
        <f t="shared" ref="E311:P311" si="118">SUM(E312:E315)</f>
        <v>0</v>
      </c>
      <c r="F311" s="193">
        <f t="shared" si="118"/>
        <v>0</v>
      </c>
      <c r="G311" s="193">
        <f>SUM(G312:G315)</f>
        <v>0</v>
      </c>
      <c r="H311" s="193">
        <f t="shared" si="118"/>
        <v>0</v>
      </c>
      <c r="I311" s="193">
        <f t="shared" si="118"/>
        <v>0</v>
      </c>
      <c r="J311" s="193">
        <f t="shared" ref="J311" si="119">SUM(J312:J315)</f>
        <v>0</v>
      </c>
      <c r="K311" s="193">
        <f t="shared" si="118"/>
        <v>0</v>
      </c>
      <c r="L311" s="193">
        <f t="shared" si="118"/>
        <v>0</v>
      </c>
      <c r="M311" s="193">
        <f t="shared" si="118"/>
        <v>0</v>
      </c>
      <c r="N311" s="193">
        <f t="shared" si="118"/>
        <v>0</v>
      </c>
      <c r="O311" s="193">
        <f t="shared" si="118"/>
        <v>0</v>
      </c>
      <c r="P311" s="193">
        <f t="shared" si="118"/>
        <v>0</v>
      </c>
      <c r="Q311" s="191">
        <f t="shared" si="101"/>
        <v>0</v>
      </c>
    </row>
    <row r="312" spans="1:17" ht="15.75" customHeight="1">
      <c r="A312" s="184" t="s">
        <v>852</v>
      </c>
      <c r="B312" s="184" t="s">
        <v>856</v>
      </c>
      <c r="C312" s="193"/>
      <c r="D312" s="193"/>
      <c r="E312" s="193"/>
      <c r="F312" s="193"/>
      <c r="G312" s="193"/>
      <c r="H312" s="193"/>
      <c r="I312" s="193"/>
      <c r="J312" s="193"/>
      <c r="K312" s="193"/>
      <c r="L312" s="193"/>
      <c r="M312" s="193"/>
      <c r="N312" s="193"/>
      <c r="O312" s="193"/>
      <c r="P312" s="193"/>
      <c r="Q312" s="191">
        <f t="shared" si="101"/>
        <v>0</v>
      </c>
    </row>
    <row r="313" spans="1:17" ht="15.75" customHeight="1">
      <c r="A313" s="184" t="s">
        <v>853</v>
      </c>
      <c r="B313" s="184" t="s">
        <v>857</v>
      </c>
      <c r="C313" s="193"/>
      <c r="D313" s="193"/>
      <c r="E313" s="193"/>
      <c r="F313" s="193"/>
      <c r="G313" s="193"/>
      <c r="H313" s="193"/>
      <c r="I313" s="193"/>
      <c r="J313" s="193"/>
      <c r="K313" s="193"/>
      <c r="L313" s="193"/>
      <c r="M313" s="193"/>
      <c r="N313" s="193"/>
      <c r="O313" s="193"/>
      <c r="P313" s="193"/>
      <c r="Q313" s="191">
        <f t="shared" si="101"/>
        <v>0</v>
      </c>
    </row>
    <row r="314" spans="1:17" ht="15.75" customHeight="1">
      <c r="A314" s="184" t="s">
        <v>854</v>
      </c>
      <c r="B314" s="184" t="s">
        <v>858</v>
      </c>
      <c r="C314" s="193"/>
      <c r="D314" s="193"/>
      <c r="E314" s="193"/>
      <c r="F314" s="193"/>
      <c r="G314" s="193"/>
      <c r="H314" s="193"/>
      <c r="I314" s="193"/>
      <c r="J314" s="193"/>
      <c r="K314" s="193"/>
      <c r="L314" s="193"/>
      <c r="M314" s="193"/>
      <c r="N314" s="193"/>
      <c r="O314" s="193"/>
      <c r="P314" s="193"/>
      <c r="Q314" s="191">
        <f t="shared" si="101"/>
        <v>0</v>
      </c>
    </row>
    <row r="315" spans="1:17" ht="15.75" customHeight="1">
      <c r="A315" s="184" t="s">
        <v>855</v>
      </c>
      <c r="B315" s="184" t="s">
        <v>859</v>
      </c>
      <c r="C315" s="193"/>
      <c r="D315" s="193"/>
      <c r="E315" s="193"/>
      <c r="F315" s="193"/>
      <c r="G315" s="193"/>
      <c r="H315" s="193"/>
      <c r="I315" s="193"/>
      <c r="J315" s="193"/>
      <c r="K315" s="193"/>
      <c r="L315" s="193"/>
      <c r="M315" s="193"/>
      <c r="N315" s="193"/>
      <c r="O315" s="193"/>
      <c r="P315" s="193"/>
      <c r="Q315" s="191">
        <f t="shared" si="101"/>
        <v>0</v>
      </c>
    </row>
    <row r="316" spans="1:17" ht="15.75" customHeight="1">
      <c r="A316" s="183"/>
      <c r="B316" s="186"/>
      <c r="C316" s="193"/>
      <c r="D316" s="193"/>
      <c r="E316" s="193"/>
      <c r="F316" s="193"/>
      <c r="G316" s="193"/>
      <c r="H316" s="193"/>
      <c r="I316" s="193"/>
      <c r="J316" s="193"/>
      <c r="K316" s="193"/>
      <c r="L316" s="193"/>
      <c r="M316" s="193"/>
      <c r="N316" s="193"/>
      <c r="O316" s="193"/>
      <c r="P316" s="193"/>
      <c r="Q316" s="191">
        <f t="shared" si="101"/>
        <v>0</v>
      </c>
    </row>
    <row r="317" spans="1:17" ht="15.75" customHeight="1">
      <c r="A317" s="181" t="s">
        <v>860</v>
      </c>
      <c r="B317" s="181" t="s">
        <v>861</v>
      </c>
      <c r="C317" s="193">
        <f>+C318</f>
        <v>0</v>
      </c>
      <c r="D317" s="193">
        <f>+D318</f>
        <v>0</v>
      </c>
      <c r="E317" s="193">
        <f t="shared" ref="E317:P317" si="120">+E318</f>
        <v>0</v>
      </c>
      <c r="F317" s="193">
        <f t="shared" si="120"/>
        <v>0</v>
      </c>
      <c r="G317" s="193">
        <f>+G318</f>
        <v>0</v>
      </c>
      <c r="H317" s="193">
        <f t="shared" si="120"/>
        <v>0</v>
      </c>
      <c r="I317" s="193">
        <f t="shared" si="120"/>
        <v>0</v>
      </c>
      <c r="J317" s="193">
        <f t="shared" si="120"/>
        <v>0</v>
      </c>
      <c r="K317" s="193">
        <f t="shared" si="120"/>
        <v>0</v>
      </c>
      <c r="L317" s="193">
        <f t="shared" si="120"/>
        <v>0</v>
      </c>
      <c r="M317" s="193">
        <f t="shared" si="120"/>
        <v>0</v>
      </c>
      <c r="N317" s="193">
        <f t="shared" si="120"/>
        <v>0</v>
      </c>
      <c r="O317" s="193">
        <f t="shared" si="120"/>
        <v>0</v>
      </c>
      <c r="P317" s="193">
        <f t="shared" si="120"/>
        <v>0</v>
      </c>
      <c r="Q317" s="191">
        <f t="shared" si="101"/>
        <v>0</v>
      </c>
    </row>
    <row r="318" spans="1:17" ht="15.75" customHeight="1">
      <c r="A318" s="184" t="s">
        <v>863</v>
      </c>
      <c r="B318" s="184" t="s">
        <v>862</v>
      </c>
      <c r="C318" s="193"/>
      <c r="D318" s="193"/>
      <c r="E318" s="193"/>
      <c r="F318" s="193"/>
      <c r="G318" s="193"/>
      <c r="H318" s="193"/>
      <c r="I318" s="193"/>
      <c r="J318" s="193"/>
      <c r="K318" s="193"/>
      <c r="L318" s="193"/>
      <c r="M318" s="193"/>
      <c r="N318" s="193"/>
      <c r="O318" s="193"/>
      <c r="P318" s="193"/>
      <c r="Q318" s="191">
        <f t="shared" si="101"/>
        <v>0</v>
      </c>
    </row>
    <row r="319" spans="1:17" ht="15.75" customHeight="1">
      <c r="A319" s="183"/>
      <c r="B319" s="186"/>
      <c r="C319" s="193"/>
      <c r="D319" s="193"/>
      <c r="E319" s="193"/>
      <c r="F319" s="193"/>
      <c r="G319" s="193"/>
      <c r="H319" s="193"/>
      <c r="I319" s="193"/>
      <c r="J319" s="193"/>
      <c r="K319" s="193"/>
      <c r="L319" s="193"/>
      <c r="M319" s="193"/>
      <c r="N319" s="193"/>
      <c r="O319" s="193"/>
      <c r="P319" s="193"/>
      <c r="Q319" s="191">
        <f t="shared" si="101"/>
        <v>0</v>
      </c>
    </row>
    <row r="320" spans="1:17" ht="15.75" customHeight="1">
      <c r="A320" s="181" t="s">
        <v>286</v>
      </c>
      <c r="B320" s="181" t="s">
        <v>287</v>
      </c>
      <c r="C320" s="193">
        <f>SUM(C321:C322)</f>
        <v>0</v>
      </c>
      <c r="D320" s="193">
        <f>SUM(D321:D322)</f>
        <v>0</v>
      </c>
      <c r="E320" s="193">
        <f t="shared" ref="E320:P320" si="121">SUM(E321:E322)</f>
        <v>0</v>
      </c>
      <c r="F320" s="193">
        <f t="shared" si="121"/>
        <v>0</v>
      </c>
      <c r="G320" s="193">
        <f>SUM(G321:G322)</f>
        <v>0</v>
      </c>
      <c r="H320" s="193">
        <f t="shared" si="121"/>
        <v>0</v>
      </c>
      <c r="I320" s="193">
        <f t="shared" si="121"/>
        <v>0</v>
      </c>
      <c r="J320" s="193">
        <f t="shared" ref="J320" si="122">SUM(J321:J322)</f>
        <v>0</v>
      </c>
      <c r="K320" s="193">
        <f t="shared" si="121"/>
        <v>0</v>
      </c>
      <c r="L320" s="193">
        <f t="shared" si="121"/>
        <v>0</v>
      </c>
      <c r="M320" s="193">
        <f t="shared" si="121"/>
        <v>0</v>
      </c>
      <c r="N320" s="193">
        <f t="shared" si="121"/>
        <v>0</v>
      </c>
      <c r="O320" s="193">
        <f t="shared" si="121"/>
        <v>0</v>
      </c>
      <c r="P320" s="193">
        <f t="shared" si="121"/>
        <v>0</v>
      </c>
      <c r="Q320" s="191">
        <f t="shared" si="101"/>
        <v>0</v>
      </c>
    </row>
    <row r="321" spans="1:17" ht="15.75" customHeight="1">
      <c r="A321" s="184" t="s">
        <v>864</v>
      </c>
      <c r="B321" s="184" t="s">
        <v>866</v>
      </c>
      <c r="C321" s="193"/>
      <c r="D321" s="193"/>
      <c r="E321" s="193"/>
      <c r="F321" s="193"/>
      <c r="G321" s="193"/>
      <c r="H321" s="193"/>
      <c r="I321" s="193"/>
      <c r="J321" s="193"/>
      <c r="K321" s="193"/>
      <c r="L321" s="193"/>
      <c r="M321" s="193"/>
      <c r="N321" s="193"/>
      <c r="O321" s="193"/>
      <c r="P321" s="193"/>
      <c r="Q321" s="191">
        <f t="shared" si="101"/>
        <v>0</v>
      </c>
    </row>
    <row r="322" spans="1:17" ht="15.75" customHeight="1">
      <c r="A322" s="184" t="s">
        <v>865</v>
      </c>
      <c r="B322" s="184" t="s">
        <v>867</v>
      </c>
      <c r="C322" s="193"/>
      <c r="D322" s="193"/>
      <c r="E322" s="193"/>
      <c r="F322" s="193"/>
      <c r="G322" s="193"/>
      <c r="H322" s="193"/>
      <c r="I322" s="193"/>
      <c r="J322" s="193"/>
      <c r="K322" s="193"/>
      <c r="L322" s="193"/>
      <c r="M322" s="193"/>
      <c r="N322" s="193"/>
      <c r="O322" s="193"/>
      <c r="P322" s="193"/>
      <c r="Q322" s="191">
        <f t="shared" si="101"/>
        <v>0</v>
      </c>
    </row>
    <row r="323" spans="1:17" ht="15.75" customHeight="1">
      <c r="A323" s="184"/>
      <c r="B323" s="184"/>
      <c r="C323" s="193"/>
      <c r="D323" s="193"/>
      <c r="E323" s="193"/>
      <c r="F323" s="193"/>
      <c r="G323" s="193"/>
      <c r="H323" s="193"/>
      <c r="I323" s="193"/>
      <c r="J323" s="193"/>
      <c r="K323" s="193"/>
      <c r="L323" s="193"/>
      <c r="M323" s="193"/>
      <c r="N323" s="193"/>
      <c r="O323" s="193"/>
      <c r="P323" s="193"/>
      <c r="Q323" s="191">
        <f t="shared" si="101"/>
        <v>0</v>
      </c>
    </row>
    <row r="324" spans="1:17" ht="15.75" customHeight="1">
      <c r="A324" s="181">
        <v>8</v>
      </c>
      <c r="B324" s="181" t="s">
        <v>868</v>
      </c>
      <c r="C324" s="193">
        <f>+C325+C331</f>
        <v>0</v>
      </c>
      <c r="D324" s="193">
        <f>+D325+D331</f>
        <v>4109009.0159999998</v>
      </c>
      <c r="E324" s="193">
        <f t="shared" ref="E324:P324" si="123">+E325+E331</f>
        <v>0</v>
      </c>
      <c r="F324" s="193">
        <f t="shared" si="123"/>
        <v>0</v>
      </c>
      <c r="G324" s="193">
        <f>+G325+G331</f>
        <v>0</v>
      </c>
      <c r="H324" s="193">
        <f t="shared" si="123"/>
        <v>0</v>
      </c>
      <c r="I324" s="193">
        <f t="shared" si="123"/>
        <v>0</v>
      </c>
      <c r="J324" s="193">
        <f t="shared" ref="J324" si="124">+J325+J331</f>
        <v>0</v>
      </c>
      <c r="K324" s="193">
        <f t="shared" si="123"/>
        <v>0</v>
      </c>
      <c r="L324" s="193">
        <f t="shared" si="123"/>
        <v>0</v>
      </c>
      <c r="M324" s="193">
        <f t="shared" si="123"/>
        <v>0</v>
      </c>
      <c r="N324" s="193">
        <f t="shared" si="123"/>
        <v>0</v>
      </c>
      <c r="O324" s="193">
        <f t="shared" si="123"/>
        <v>0</v>
      </c>
      <c r="P324" s="193">
        <f t="shared" si="123"/>
        <v>0</v>
      </c>
      <c r="Q324" s="191">
        <f t="shared" si="101"/>
        <v>4109009.0159999998</v>
      </c>
    </row>
    <row r="325" spans="1:17" ht="15.75" customHeight="1">
      <c r="A325" s="181" t="s">
        <v>288</v>
      </c>
      <c r="B325" s="181" t="s">
        <v>289</v>
      </c>
      <c r="C325" s="193">
        <f>SUM(C326:C329)</f>
        <v>0</v>
      </c>
      <c r="D325" s="193">
        <f>SUM(D326:D329)</f>
        <v>0</v>
      </c>
      <c r="E325" s="193">
        <f t="shared" ref="E325:P325" si="125">SUM(E326:E329)</f>
        <v>0</v>
      </c>
      <c r="F325" s="193">
        <f t="shared" si="125"/>
        <v>0</v>
      </c>
      <c r="G325" s="193">
        <f>SUM(G326:G329)</f>
        <v>0</v>
      </c>
      <c r="H325" s="193">
        <f t="shared" si="125"/>
        <v>0</v>
      </c>
      <c r="I325" s="193">
        <f t="shared" si="125"/>
        <v>0</v>
      </c>
      <c r="J325" s="193">
        <f t="shared" ref="J325" si="126">SUM(J326:J329)</f>
        <v>0</v>
      </c>
      <c r="K325" s="193">
        <f t="shared" si="125"/>
        <v>0</v>
      </c>
      <c r="L325" s="193">
        <f t="shared" si="125"/>
        <v>0</v>
      </c>
      <c r="M325" s="193">
        <f t="shared" si="125"/>
        <v>0</v>
      </c>
      <c r="N325" s="193">
        <f t="shared" si="125"/>
        <v>0</v>
      </c>
      <c r="O325" s="193">
        <f t="shared" si="125"/>
        <v>0</v>
      </c>
      <c r="P325" s="193">
        <f t="shared" si="125"/>
        <v>0</v>
      </c>
      <c r="Q325" s="191">
        <f t="shared" si="101"/>
        <v>0</v>
      </c>
    </row>
    <row r="326" spans="1:17" ht="15.75" customHeight="1">
      <c r="A326" s="184" t="s">
        <v>869</v>
      </c>
      <c r="B326" s="184" t="s">
        <v>873</v>
      </c>
      <c r="C326" s="193"/>
      <c r="D326" s="193"/>
      <c r="E326" s="193"/>
      <c r="F326" s="193"/>
      <c r="G326" s="193"/>
      <c r="H326" s="193"/>
      <c r="I326" s="193"/>
      <c r="J326" s="193"/>
      <c r="K326" s="193"/>
      <c r="L326" s="193"/>
      <c r="M326" s="193"/>
      <c r="N326" s="193"/>
      <c r="O326" s="193"/>
      <c r="P326" s="193"/>
      <c r="Q326" s="191">
        <f t="shared" si="101"/>
        <v>0</v>
      </c>
    </row>
    <row r="327" spans="1:17" ht="15.75" customHeight="1">
      <c r="A327" s="184" t="s">
        <v>870</v>
      </c>
      <c r="B327" s="184" t="s">
        <v>874</v>
      </c>
      <c r="C327" s="193"/>
      <c r="D327" s="193"/>
      <c r="E327" s="193"/>
      <c r="F327" s="193"/>
      <c r="G327" s="193"/>
      <c r="H327" s="193"/>
      <c r="I327" s="193"/>
      <c r="J327" s="193"/>
      <c r="K327" s="193"/>
      <c r="L327" s="193"/>
      <c r="M327" s="193"/>
      <c r="N327" s="193"/>
      <c r="O327" s="193"/>
      <c r="P327" s="193"/>
      <c r="Q327" s="191">
        <f t="shared" si="101"/>
        <v>0</v>
      </c>
    </row>
    <row r="328" spans="1:17" ht="15.75" customHeight="1">
      <c r="A328" s="184" t="s">
        <v>871</v>
      </c>
      <c r="B328" s="184" t="s">
        <v>875</v>
      </c>
      <c r="C328" s="193"/>
      <c r="D328" s="193"/>
      <c r="E328" s="193"/>
      <c r="F328" s="193"/>
      <c r="G328" s="193"/>
      <c r="H328" s="193"/>
      <c r="I328" s="193"/>
      <c r="J328" s="193"/>
      <c r="K328" s="193"/>
      <c r="L328" s="193"/>
      <c r="M328" s="193"/>
      <c r="N328" s="193"/>
      <c r="O328" s="193"/>
      <c r="P328" s="193"/>
      <c r="Q328" s="191">
        <f t="shared" si="101"/>
        <v>0</v>
      </c>
    </row>
    <row r="329" spans="1:17" ht="15.75" customHeight="1">
      <c r="A329" s="184" t="s">
        <v>872</v>
      </c>
      <c r="B329" s="184" t="s">
        <v>876</v>
      </c>
      <c r="C329" s="193"/>
      <c r="D329" s="193"/>
      <c r="E329" s="193"/>
      <c r="F329" s="193"/>
      <c r="G329" s="193"/>
      <c r="H329" s="193"/>
      <c r="I329" s="193"/>
      <c r="J329" s="193"/>
      <c r="K329" s="193"/>
      <c r="L329" s="193"/>
      <c r="M329" s="193"/>
      <c r="N329" s="193"/>
      <c r="O329" s="193"/>
      <c r="P329" s="193"/>
      <c r="Q329" s="191">
        <f t="shared" si="101"/>
        <v>0</v>
      </c>
    </row>
    <row r="330" spans="1:17" ht="15.75" customHeight="1">
      <c r="A330" s="183"/>
      <c r="B330" s="186"/>
      <c r="C330" s="193"/>
      <c r="D330" s="193"/>
      <c r="E330" s="193"/>
      <c r="F330" s="193"/>
      <c r="G330" s="193"/>
      <c r="H330" s="193"/>
      <c r="I330" s="193"/>
      <c r="J330" s="193"/>
      <c r="K330" s="193"/>
      <c r="L330" s="193"/>
      <c r="M330" s="193"/>
      <c r="N330" s="193"/>
      <c r="O330" s="193"/>
      <c r="P330" s="193"/>
      <c r="Q330" s="191">
        <f t="shared" ref="Q330:Q347" si="127">SUM(C330:P330)</f>
        <v>0</v>
      </c>
    </row>
    <row r="331" spans="1:17" ht="15.75" customHeight="1">
      <c r="A331" s="181" t="s">
        <v>290</v>
      </c>
      <c r="B331" s="181" t="s">
        <v>291</v>
      </c>
      <c r="C331" s="193">
        <f>SUM(C332:C339)</f>
        <v>0</v>
      </c>
      <c r="D331" s="193">
        <f>SUM(D332:D339)</f>
        <v>4109009.0159999998</v>
      </c>
      <c r="E331" s="193">
        <f t="shared" ref="E331:P331" si="128">SUM(E332:E339)</f>
        <v>0</v>
      </c>
      <c r="F331" s="193">
        <f t="shared" si="128"/>
        <v>0</v>
      </c>
      <c r="G331" s="193">
        <f>SUM(G332:G339)</f>
        <v>0</v>
      </c>
      <c r="H331" s="193">
        <f t="shared" si="128"/>
        <v>0</v>
      </c>
      <c r="I331" s="193">
        <f t="shared" si="128"/>
        <v>0</v>
      </c>
      <c r="J331" s="193">
        <f t="shared" ref="J331" si="129">SUM(J332:J339)</f>
        <v>0</v>
      </c>
      <c r="K331" s="193">
        <f t="shared" si="128"/>
        <v>0</v>
      </c>
      <c r="L331" s="193">
        <f t="shared" si="128"/>
        <v>0</v>
      </c>
      <c r="M331" s="193">
        <f t="shared" si="128"/>
        <v>0</v>
      </c>
      <c r="N331" s="193">
        <f t="shared" si="128"/>
        <v>0</v>
      </c>
      <c r="O331" s="193">
        <f t="shared" si="128"/>
        <v>0</v>
      </c>
      <c r="P331" s="193">
        <f t="shared" si="128"/>
        <v>0</v>
      </c>
      <c r="Q331" s="191">
        <f t="shared" si="127"/>
        <v>4109009.0159999998</v>
      </c>
    </row>
    <row r="332" spans="1:17" ht="15.75" customHeight="1">
      <c r="A332" s="184" t="s">
        <v>877</v>
      </c>
      <c r="B332" s="184" t="s">
        <v>885</v>
      </c>
      <c r="C332" s="193"/>
      <c r="D332" s="193"/>
      <c r="E332" s="193"/>
      <c r="F332" s="193"/>
      <c r="G332" s="193"/>
      <c r="H332" s="193"/>
      <c r="I332" s="193"/>
      <c r="J332" s="193"/>
      <c r="K332" s="193"/>
      <c r="L332" s="193"/>
      <c r="M332" s="193"/>
      <c r="N332" s="193"/>
      <c r="O332" s="193"/>
      <c r="P332" s="193"/>
      <c r="Q332" s="191">
        <f t="shared" si="127"/>
        <v>0</v>
      </c>
    </row>
    <row r="333" spans="1:17" ht="15.75" customHeight="1">
      <c r="A333" s="184" t="s">
        <v>878</v>
      </c>
      <c r="B333" s="184" t="s">
        <v>886</v>
      </c>
      <c r="C333" s="193"/>
      <c r="D333" s="193"/>
      <c r="E333" s="193"/>
      <c r="F333" s="193"/>
      <c r="G333" s="193"/>
      <c r="H333" s="193"/>
      <c r="I333" s="193"/>
      <c r="J333" s="193"/>
      <c r="K333" s="193"/>
      <c r="L333" s="193"/>
      <c r="M333" s="193"/>
      <c r="N333" s="193"/>
      <c r="O333" s="193"/>
      <c r="P333" s="193"/>
      <c r="Q333" s="191">
        <f t="shared" si="127"/>
        <v>0</v>
      </c>
    </row>
    <row r="334" spans="1:17" ht="15.75" customHeight="1">
      <c r="A334" s="184" t="s">
        <v>879</v>
      </c>
      <c r="B334" s="184" t="s">
        <v>887</v>
      </c>
      <c r="C334" s="193"/>
      <c r="D334" s="193"/>
      <c r="E334" s="193"/>
      <c r="F334" s="193"/>
      <c r="G334" s="193"/>
      <c r="H334" s="193"/>
      <c r="I334" s="193"/>
      <c r="J334" s="193"/>
      <c r="K334" s="193"/>
      <c r="L334" s="193"/>
      <c r="M334" s="193"/>
      <c r="N334" s="193"/>
      <c r="O334" s="193"/>
      <c r="P334" s="193"/>
      <c r="Q334" s="191">
        <f t="shared" si="127"/>
        <v>0</v>
      </c>
    </row>
    <row r="335" spans="1:17" ht="15.75" customHeight="1">
      <c r="A335" s="184" t="s">
        <v>880</v>
      </c>
      <c r="B335" s="184" t="s">
        <v>888</v>
      </c>
      <c r="C335" s="193"/>
      <c r="D335" s="193"/>
      <c r="E335" s="193"/>
      <c r="F335" s="193"/>
      <c r="G335" s="193"/>
      <c r="H335" s="193"/>
      <c r="I335" s="193"/>
      <c r="J335" s="193"/>
      <c r="K335" s="193"/>
      <c r="L335" s="193"/>
      <c r="M335" s="193"/>
      <c r="N335" s="193"/>
      <c r="O335" s="193"/>
      <c r="P335" s="193"/>
      <c r="Q335" s="191">
        <f t="shared" si="127"/>
        <v>0</v>
      </c>
    </row>
    <row r="336" spans="1:17" ht="15.75" customHeight="1">
      <c r="A336" s="184" t="s">
        <v>881</v>
      </c>
      <c r="B336" s="184" t="s">
        <v>892</v>
      </c>
      <c r="C336" s="193"/>
      <c r="D336" s="812"/>
      <c r="E336" s="193"/>
      <c r="F336" s="193"/>
      <c r="G336" s="193"/>
      <c r="H336" s="193"/>
      <c r="I336" s="193"/>
      <c r="J336" s="193"/>
      <c r="K336" s="193"/>
      <c r="L336" s="193"/>
      <c r="M336" s="193"/>
      <c r="N336" s="193"/>
      <c r="O336" s="193"/>
      <c r="P336" s="193"/>
      <c r="Q336" s="191">
        <f t="shared" si="127"/>
        <v>0</v>
      </c>
    </row>
    <row r="337" spans="1:18" ht="15.75" customHeight="1">
      <c r="A337" s="184" t="s">
        <v>882</v>
      </c>
      <c r="B337" s="184" t="s">
        <v>889</v>
      </c>
      <c r="C337" s="193"/>
      <c r="D337" s="193">
        <f>+'[8]Deuda Interna'!D11</f>
        <v>4109009.0159999998</v>
      </c>
      <c r="E337" s="193"/>
      <c r="F337" s="193"/>
      <c r="G337" s="193"/>
      <c r="H337" s="193"/>
      <c r="I337" s="193"/>
      <c r="J337" s="193"/>
      <c r="K337" s="193"/>
      <c r="L337" s="193"/>
      <c r="M337" s="193"/>
      <c r="N337" s="193"/>
      <c r="O337" s="193"/>
      <c r="P337" s="193"/>
      <c r="Q337" s="191">
        <f t="shared" si="127"/>
        <v>4109009.0159999998</v>
      </c>
    </row>
    <row r="338" spans="1:18" ht="15.75" customHeight="1">
      <c r="A338" s="184" t="s">
        <v>883</v>
      </c>
      <c r="B338" s="184" t="s">
        <v>890</v>
      </c>
      <c r="C338" s="193"/>
      <c r="D338" s="193"/>
      <c r="E338" s="193"/>
      <c r="F338" s="193"/>
      <c r="G338" s="193"/>
      <c r="H338" s="193"/>
      <c r="I338" s="193"/>
      <c r="J338" s="193"/>
      <c r="K338" s="193"/>
      <c r="L338" s="193"/>
      <c r="M338" s="193"/>
      <c r="N338" s="193"/>
      <c r="O338" s="193"/>
      <c r="P338" s="193"/>
      <c r="Q338" s="191">
        <f t="shared" si="127"/>
        <v>0</v>
      </c>
    </row>
    <row r="339" spans="1:18" ht="15.75" customHeight="1">
      <c r="A339" s="184" t="s">
        <v>884</v>
      </c>
      <c r="B339" s="184" t="s">
        <v>891</v>
      </c>
      <c r="C339" s="193"/>
      <c r="D339" s="193"/>
      <c r="E339" s="193"/>
      <c r="F339" s="193"/>
      <c r="G339" s="193"/>
      <c r="H339" s="193"/>
      <c r="I339" s="193"/>
      <c r="J339" s="193"/>
      <c r="K339" s="193"/>
      <c r="L339" s="193"/>
      <c r="M339" s="193"/>
      <c r="N339" s="193"/>
      <c r="O339" s="193"/>
      <c r="P339" s="193"/>
      <c r="Q339" s="191">
        <f t="shared" si="127"/>
        <v>0</v>
      </c>
    </row>
    <row r="340" spans="1:18" ht="15.75" customHeight="1">
      <c r="A340" s="183"/>
      <c r="B340" s="186"/>
      <c r="C340" s="193"/>
      <c r="D340" s="193"/>
      <c r="E340" s="193"/>
      <c r="F340" s="193"/>
      <c r="G340" s="193"/>
      <c r="H340" s="193"/>
      <c r="I340" s="193"/>
      <c r="J340" s="193"/>
      <c r="K340" s="193"/>
      <c r="L340" s="193"/>
      <c r="M340" s="193"/>
      <c r="N340" s="193"/>
      <c r="O340" s="193"/>
      <c r="P340" s="193"/>
      <c r="Q340" s="191">
        <f t="shared" si="127"/>
        <v>0</v>
      </c>
    </row>
    <row r="341" spans="1:18" ht="15.75" customHeight="1">
      <c r="A341" s="181">
        <v>9</v>
      </c>
      <c r="B341" s="181" t="s">
        <v>893</v>
      </c>
      <c r="C341" s="193">
        <f>+C342+C345</f>
        <v>0</v>
      </c>
      <c r="D341" s="193">
        <f>+D342+D345</f>
        <v>0</v>
      </c>
      <c r="E341" s="193">
        <f t="shared" ref="E341:P341" si="130">+E342+E345</f>
        <v>0</v>
      </c>
      <c r="F341" s="193">
        <f t="shared" si="130"/>
        <v>0</v>
      </c>
      <c r="G341" s="193">
        <f>+G342+G345</f>
        <v>0</v>
      </c>
      <c r="H341" s="193">
        <f t="shared" si="130"/>
        <v>0</v>
      </c>
      <c r="I341" s="193">
        <f t="shared" si="130"/>
        <v>0</v>
      </c>
      <c r="J341" s="193">
        <f t="shared" ref="J341" si="131">+J342+J345</f>
        <v>0</v>
      </c>
      <c r="K341" s="193">
        <f t="shared" si="130"/>
        <v>0</v>
      </c>
      <c r="L341" s="193">
        <f t="shared" si="130"/>
        <v>0</v>
      </c>
      <c r="M341" s="193">
        <f t="shared" si="130"/>
        <v>0</v>
      </c>
      <c r="N341" s="193">
        <f t="shared" si="130"/>
        <v>0</v>
      </c>
      <c r="O341" s="193">
        <f t="shared" si="130"/>
        <v>0</v>
      </c>
      <c r="P341" s="193">
        <f t="shared" si="130"/>
        <v>0</v>
      </c>
      <c r="Q341" s="191">
        <f t="shared" si="127"/>
        <v>0</v>
      </c>
    </row>
    <row r="342" spans="1:18" ht="15.75" customHeight="1">
      <c r="A342" s="181" t="s">
        <v>292</v>
      </c>
      <c r="B342" s="181" t="s">
        <v>293</v>
      </c>
      <c r="C342" s="193"/>
      <c r="D342" s="193"/>
      <c r="E342" s="193"/>
      <c r="F342" s="193"/>
      <c r="G342" s="193"/>
      <c r="H342" s="193"/>
      <c r="I342" s="193"/>
      <c r="J342" s="193"/>
      <c r="K342" s="193"/>
      <c r="L342" s="193"/>
      <c r="M342" s="193"/>
      <c r="N342" s="193"/>
      <c r="O342" s="193"/>
      <c r="P342" s="193"/>
      <c r="Q342" s="191">
        <f t="shared" si="127"/>
        <v>0</v>
      </c>
    </row>
    <row r="343" spans="1:18" ht="15.75" customHeight="1">
      <c r="A343" s="184" t="s">
        <v>894</v>
      </c>
      <c r="B343" s="184" t="s">
        <v>897</v>
      </c>
      <c r="C343" s="193"/>
      <c r="D343" s="193"/>
      <c r="E343" s="193"/>
      <c r="F343" s="193"/>
      <c r="G343" s="193"/>
      <c r="H343" s="193"/>
      <c r="I343" s="193"/>
      <c r="J343" s="193"/>
      <c r="K343" s="193"/>
      <c r="L343" s="193"/>
      <c r="M343" s="193"/>
      <c r="N343" s="193"/>
      <c r="O343" s="193"/>
      <c r="P343" s="193"/>
      <c r="Q343" s="191">
        <f t="shared" si="127"/>
        <v>0</v>
      </c>
    </row>
    <row r="344" spans="1:18" ht="15.75" customHeight="1">
      <c r="A344" s="183"/>
      <c r="B344" s="186"/>
      <c r="C344" s="193"/>
      <c r="D344" s="193"/>
      <c r="E344" s="193"/>
      <c r="F344" s="193"/>
      <c r="G344" s="193"/>
      <c r="H344" s="193"/>
      <c r="I344" s="193"/>
      <c r="J344" s="193"/>
      <c r="K344" s="193"/>
      <c r="L344" s="193"/>
      <c r="M344" s="193"/>
      <c r="N344" s="193"/>
      <c r="O344" s="193"/>
      <c r="P344" s="193"/>
      <c r="Q344" s="191">
        <f t="shared" si="127"/>
        <v>0</v>
      </c>
    </row>
    <row r="345" spans="1:18" ht="15.75" customHeight="1">
      <c r="A345" s="181" t="s">
        <v>294</v>
      </c>
      <c r="B345" s="181" t="s">
        <v>295</v>
      </c>
      <c r="C345" s="193">
        <f>+C346+C347</f>
        <v>0</v>
      </c>
      <c r="D345" s="193">
        <f>+D346+D347</f>
        <v>0</v>
      </c>
      <c r="E345" s="193">
        <f t="shared" ref="E345:P345" si="132">+E346+E347</f>
        <v>0</v>
      </c>
      <c r="F345" s="193">
        <f t="shared" si="132"/>
        <v>0</v>
      </c>
      <c r="G345" s="193">
        <f>+G346+G347</f>
        <v>0</v>
      </c>
      <c r="H345" s="193">
        <f t="shared" si="132"/>
        <v>0</v>
      </c>
      <c r="I345" s="193">
        <f t="shared" si="132"/>
        <v>0</v>
      </c>
      <c r="J345" s="193">
        <f t="shared" ref="J345" si="133">+J346+J347</f>
        <v>0</v>
      </c>
      <c r="K345" s="193">
        <f t="shared" si="132"/>
        <v>0</v>
      </c>
      <c r="L345" s="193">
        <f t="shared" si="132"/>
        <v>0</v>
      </c>
      <c r="M345" s="193">
        <f t="shared" si="132"/>
        <v>0</v>
      </c>
      <c r="N345" s="193">
        <f t="shared" si="132"/>
        <v>0</v>
      </c>
      <c r="O345" s="193">
        <f t="shared" si="132"/>
        <v>0</v>
      </c>
      <c r="P345" s="193">
        <f t="shared" si="132"/>
        <v>0</v>
      </c>
      <c r="Q345" s="191">
        <f t="shared" si="127"/>
        <v>0</v>
      </c>
    </row>
    <row r="346" spans="1:18" ht="15.75" customHeight="1">
      <c r="A346" s="184" t="s">
        <v>900</v>
      </c>
      <c r="B346" s="184" t="s">
        <v>898</v>
      </c>
      <c r="C346" s="193"/>
      <c r="D346" s="193"/>
      <c r="E346" s="193"/>
      <c r="F346" s="193"/>
      <c r="G346" s="193"/>
      <c r="H346" s="193"/>
      <c r="I346" s="193"/>
      <c r="J346" s="193"/>
      <c r="K346" s="193"/>
      <c r="L346" s="193"/>
      <c r="M346" s="193"/>
      <c r="N346" s="193"/>
      <c r="O346" s="193"/>
      <c r="P346" s="193"/>
      <c r="Q346" s="191">
        <f t="shared" si="127"/>
        <v>0</v>
      </c>
    </row>
    <row r="347" spans="1:18" ht="15.75" customHeight="1">
      <c r="A347" s="184" t="s">
        <v>901</v>
      </c>
      <c r="B347" s="184" t="s">
        <v>899</v>
      </c>
      <c r="C347" s="193">
        <v>0</v>
      </c>
      <c r="D347" s="193">
        <v>0</v>
      </c>
      <c r="E347" s="193">
        <v>0</v>
      </c>
      <c r="F347" s="193">
        <v>0</v>
      </c>
      <c r="G347" s="193">
        <v>0</v>
      </c>
      <c r="H347" s="193">
        <v>0</v>
      </c>
      <c r="I347" s="193">
        <v>0</v>
      </c>
      <c r="J347" s="193">
        <v>0</v>
      </c>
      <c r="K347" s="193">
        <v>0</v>
      </c>
      <c r="L347" s="193">
        <v>0</v>
      </c>
      <c r="M347" s="193">
        <v>0</v>
      </c>
      <c r="N347" s="193">
        <v>0</v>
      </c>
      <c r="O347" s="193">
        <v>0</v>
      </c>
      <c r="P347" s="193">
        <v>0</v>
      </c>
      <c r="Q347" s="191">
        <f t="shared" si="127"/>
        <v>0</v>
      </c>
      <c r="R347" s="213"/>
    </row>
    <row r="348" spans="1:18" ht="15.75" customHeight="1">
      <c r="R348" s="213"/>
    </row>
    <row r="349" spans="1:18" ht="15.75" customHeight="1">
      <c r="N349" s="190"/>
    </row>
    <row r="350" spans="1:18" ht="15.75" customHeight="1">
      <c r="N350" s="190"/>
    </row>
    <row r="351" spans="1:18" ht="15.75" customHeight="1">
      <c r="N351" s="526"/>
    </row>
  </sheetData>
  <mergeCells count="6">
    <mergeCell ref="D8:P8"/>
    <mergeCell ref="A1:Q1"/>
    <mergeCell ref="A2:Q2"/>
    <mergeCell ref="A5:Q5"/>
    <mergeCell ref="A4:Q4"/>
    <mergeCell ref="A3:Q3"/>
  </mergeCells>
  <phoneticPr fontId="3" type="noConversion"/>
  <hyperlinks>
    <hyperlink ref="A12" location="_0.01_Remuneraciones_básicas" display="_0.01_Remuneraciones_básicas" xr:uid="{00000000-0004-0000-0400-000000000000}"/>
    <hyperlink ref="B12" location="_0.01_Remuneraciones_básicas" display="_0.01_Remuneraciones_básicas" xr:uid="{00000000-0004-0000-0400-000001000000}"/>
    <hyperlink ref="A13" location="_0.01.01_Sueldos_para_cargos fijos" display="_0.01.01_Sueldos_para_cargos fijos" xr:uid="{00000000-0004-0000-0400-000002000000}"/>
    <hyperlink ref="A14" location="_0.01.02_Jornales" display="_0.01.02_Jornales" xr:uid="{00000000-0004-0000-0400-000003000000}"/>
    <hyperlink ref="A15" location="_0.01.03___Servicios especiales" display="_0.01.03___Servicios especiales" xr:uid="{00000000-0004-0000-0400-000004000000}"/>
    <hyperlink ref="A16" location="_0.01.04___  Sueldos a base de comis" display="_0.01.04___  Sueldos a base de comis" xr:uid="{00000000-0004-0000-0400-000005000000}"/>
    <hyperlink ref="A17" location="_0.01.05_Suplencias" display="_0.01.05_Suplencias" xr:uid="{00000000-0004-0000-0400-000006000000}"/>
    <hyperlink ref="A19" location="OLE_LINK3" display="OLE_LINK3" xr:uid="{00000000-0004-0000-0400-000007000000}"/>
    <hyperlink ref="B19" location="OLE_LINK3" display="OLE_LINK3" xr:uid="{00000000-0004-0000-0400-000008000000}"/>
    <hyperlink ref="A20" location="_0.02.01_Tiempo_extraordinario" display="_0.02.01_Tiempo_extraordinario" xr:uid="{00000000-0004-0000-0400-000009000000}"/>
    <hyperlink ref="A21" location="_0.02.02_Recargo_de_funciones" display="_0.02.02_Recargo_de_funciones" xr:uid="{00000000-0004-0000-0400-00000A000000}"/>
    <hyperlink ref="A22" location="_0.02.03___  Disponibilidad laboral" display="_0.02.03___  Disponibilidad laboral" xr:uid="{00000000-0004-0000-0400-00000B000000}"/>
    <hyperlink ref="A23" location="_Hlt506206007" display="_Hlt506206007" xr:uid="{00000000-0004-0000-0400-00000C000000}"/>
    <hyperlink ref="A24" location="_0.01.05__" display="_0.01.05__" xr:uid="{00000000-0004-0000-0400-00000D000000}"/>
    <hyperlink ref="A26" location="OLE_LINK4" display="OLE_LINK4" xr:uid="{00000000-0004-0000-0400-00000E000000}"/>
    <hyperlink ref="B26" location="OLE_LINK4" display="OLE_LINK4" xr:uid="{00000000-0004-0000-0400-00000F000000}"/>
    <hyperlink ref="A27" location="_Hlt506206189" display="_Hlt506206189" xr:uid="{00000000-0004-0000-0400-000010000000}"/>
    <hyperlink ref="A28" location="_0.03.02_Restricción_al_ejercicio  l" display="_0.03.02_Restricción_al_ejercicio  l" xr:uid="{00000000-0004-0000-0400-000011000000}"/>
    <hyperlink ref="A29" location="_0.03.03___ Decimotercer mes" display="_0.03.03___ Decimotercer mes" xr:uid="{00000000-0004-0000-0400-000012000000}"/>
    <hyperlink ref="A30" location="_0.03.04___ Salario escolar" display="_0.03.04___ Salario escolar" xr:uid="{00000000-0004-0000-0400-000013000000}"/>
    <hyperlink ref="A31" location="_0.03.99__" display="_0.03.99__" xr:uid="{00000000-0004-0000-0400-000014000000}"/>
    <hyperlink ref="A33" location="OLE_LINK5" display="OLE_LINK5" xr:uid="{00000000-0004-0000-0400-000015000000}"/>
    <hyperlink ref="A34" location="_Contribución_Patronal_al" display="_Contribución_Patronal_al" xr:uid="{00000000-0004-0000-0400-000016000000}"/>
    <hyperlink ref="A35" location="_0.04.02__" display="_0.04.02__" xr:uid="{00000000-0004-0000-0400-000017000000}"/>
    <hyperlink ref="A36" location="_0.04.03___     Contribución Patrona" display="_0.04.03___     Contribución Patrona" xr:uid="{00000000-0004-0000-0400-000018000000}"/>
    <hyperlink ref="A37" location="_0.04.04___  Contribución Patronal a" display="_0.04.04___  Contribución Patronal a" xr:uid="{00000000-0004-0000-0400-000019000000}"/>
    <hyperlink ref="A38" location="_0.04.05___ Contribución Patronal al" display="_0.04.05___ Contribución Patronal al" xr:uid="{00000000-0004-0000-0400-00001A000000}"/>
    <hyperlink ref="A39" location="_0.04.05___ Contribución Patronal al" display="_0.04.05___ Contribución Patronal al" xr:uid="{00000000-0004-0000-0400-00001B000000}"/>
    <hyperlink ref="A40" location="OLE_LINK6" display="OLE_LINK6" xr:uid="{00000000-0004-0000-0400-00001C000000}"/>
    <hyperlink ref="A42" location="_0.05.01___Contribución Patronal al " display="_0.05.01___Contribución Patronal al " xr:uid="{00000000-0004-0000-0400-00001D000000}"/>
    <hyperlink ref="A43" location="_0.05.02__" display="_0.05.02__" xr:uid="{00000000-0004-0000-0400-00001E000000}"/>
    <hyperlink ref="A44" location="_0.05.03___ Aporte Patronal al Fondo" display="_0.05.03___ Aporte Patronal al Fondo" xr:uid="{00000000-0004-0000-0400-00001F000000}"/>
    <hyperlink ref="A46" location="_0.05.05___Contribución  patronal a " display="_0.05.05___Contribución  patronal a " xr:uid="{00000000-0004-0000-0400-000020000000}"/>
    <hyperlink ref="A48" location="OLE_LINK8" display="OLE_LINK8" xr:uid="{00000000-0004-0000-0400-000021000000}"/>
    <hyperlink ref="A49" location="_0.99.01___Gastos de representación " display="_0.99.01___Gastos de representación " xr:uid="{00000000-0004-0000-0400-000022000000}"/>
    <hyperlink ref="A52" location="_1___4" display="_1___4" xr:uid="{00000000-0004-0000-0400-000023000000}"/>
    <hyperlink ref="A53" location="_1.01__" display="_1.01__" xr:uid="{00000000-0004-0000-0400-000024000000}"/>
    <hyperlink ref="B53" location="_1.01__" display="_1.01__" xr:uid="{00000000-0004-0000-0400-000025000000}"/>
    <hyperlink ref="A54" location="_1.01.01___Alquiler de edificios, lo" display="_1.01.01___Alquiler de edificios, lo" xr:uid="{00000000-0004-0000-0400-000026000000}"/>
    <hyperlink ref="A55" location="_Hlt506254949" display="_Hlt506254949" xr:uid="{00000000-0004-0000-0400-000027000000}"/>
    <hyperlink ref="A56" location="_1.01.03___ Alquiler de equipo de có" display="_1.01.03___ Alquiler de equipo de có" xr:uid="{00000000-0004-0000-0400-000028000000}"/>
    <hyperlink ref="A57" location="_1.01.04___Alquiler y derechos para " display="_1.01.04___Alquiler y derechos para " xr:uid="{00000000-0004-0000-0400-000029000000}"/>
    <hyperlink ref="A58" location="_1.01.99___Otros alquileres" display="_1.01.99___Otros alquileres" xr:uid="{00000000-0004-0000-0400-00002A000000}"/>
    <hyperlink ref="A60" location="_1.02__" display="_1.02__" xr:uid="{00000000-0004-0000-0400-00002B000000}"/>
    <hyperlink ref="B60" location="_1.02__" display="_1.02__" xr:uid="{00000000-0004-0000-0400-00002C000000}"/>
    <hyperlink ref="A61" location="_1.02.01___Servicio de agua y alcant" display="_1.02.01___Servicio de agua y alcant" xr:uid="{00000000-0004-0000-0400-00002D000000}"/>
    <hyperlink ref="A62" location="_1.02.02__" display="_1.02.02__" xr:uid="{00000000-0004-0000-0400-00002E000000}"/>
    <hyperlink ref="A63" location="_1.02.03___ Servicio de correo" display="_1.02.03___ Servicio de correo" xr:uid="{00000000-0004-0000-0400-00002F000000}"/>
    <hyperlink ref="A64" location="_1.02.04___ Servicio de telecomunica" display="_1.02.04___ Servicio de telecomunica" xr:uid="{00000000-0004-0000-0400-000030000000}"/>
    <hyperlink ref="A65" location="_1.02.99___Otros servicios básicos" display="_1.02.99___Otros servicios básicos" xr:uid="{00000000-0004-0000-0400-000031000000}"/>
    <hyperlink ref="A67" location="_1.03__" display="_1.03__" xr:uid="{00000000-0004-0000-0400-000032000000}"/>
    <hyperlink ref="B67" location="_1.03__" display="_1.03__" xr:uid="{00000000-0004-0000-0400-000033000000}"/>
    <hyperlink ref="A68" location="_Hlt506255274" display="_Hlt506255274" xr:uid="{00000000-0004-0000-0400-000034000000}"/>
    <hyperlink ref="A69" location="_1.03.02__" display="_1.03.02__" xr:uid="{00000000-0004-0000-0400-000035000000}"/>
    <hyperlink ref="A70" location="_1.03.03___Impresión, encuadernación" display="_1.03.03___Impresión, encuadernación" xr:uid="{00000000-0004-0000-0400-000036000000}"/>
    <hyperlink ref="A71" location="_1.03.04___   Transporte de bienes" display="_1.03.04___   Transporte de bienes" xr:uid="{00000000-0004-0000-0400-000037000000}"/>
    <hyperlink ref="A72" location="_1.03.05__" display="_1.03.05__" xr:uid="{00000000-0004-0000-0400-000038000000}"/>
    <hyperlink ref="A73" location="_1.03.06___Comisiones y gastos por s" display="_1.03.06___Comisiones y gastos por s" xr:uid="{00000000-0004-0000-0400-000039000000}"/>
    <hyperlink ref="A74" location="_1.03.07___Servicios de transferenci" display="_1.03.07___Servicios de transferenci" xr:uid="{00000000-0004-0000-0400-00003A000000}"/>
    <hyperlink ref="A76" location="_1.04__" display="_1.04__" xr:uid="{00000000-0004-0000-0400-00003B000000}"/>
    <hyperlink ref="B76" location="_1.04__" display="_1.04__" xr:uid="{00000000-0004-0000-0400-00003C000000}"/>
    <hyperlink ref="A77" location="_1.04.01___Servicios médicos y de la" display="_1.04.01___Servicios médicos y de la" xr:uid="{00000000-0004-0000-0400-00003D000000}"/>
    <hyperlink ref="A78" location="_1.04.02___Servicios jurídicos" display="_1.04.02___Servicios jurídicos" xr:uid="{00000000-0004-0000-0400-00003E000000}"/>
    <hyperlink ref="A79" location="_1.04.03___Servicios de ingeniería" display="_1.04.03___Servicios de ingeniería" xr:uid="{00000000-0004-0000-0400-00003F000000}"/>
    <hyperlink ref="A80" location="_1.04.04___Servicios en ciencias eco" display="_1.04.04___Servicios en ciencias eco" xr:uid="{00000000-0004-0000-0400-000040000000}"/>
    <hyperlink ref="A81" location="_1.04.05___Servicios de desarrollo d" display="_1.04.05___Servicios de desarrollo d" xr:uid="{00000000-0004-0000-0400-000041000000}"/>
    <hyperlink ref="A82" location="_1.04.06___Servicios generales" display="_1.04.06___Servicios generales" xr:uid="{00000000-0004-0000-0400-000042000000}"/>
    <hyperlink ref="A83" location="_1.04.99___Otros servicios de gestió" display="_1.04.99___Otros servicios de gestió" xr:uid="{00000000-0004-0000-0400-000043000000}"/>
    <hyperlink ref="A85" location="_1.05__" display="_1.05__" xr:uid="{00000000-0004-0000-0400-000044000000}"/>
    <hyperlink ref="B85" location="_1.05__" display="_1.05__" xr:uid="{00000000-0004-0000-0400-000045000000}"/>
    <hyperlink ref="A86" location="_1.05.01___Transporte dentro del paí" display="_1.05.01___Transporte dentro del paí" xr:uid="{00000000-0004-0000-0400-000046000000}"/>
    <hyperlink ref="A87" location="_1.05.02___  Viáticos dentro del paí" display="_1.05.02___  Viáticos dentro del paí" xr:uid="{00000000-0004-0000-0400-000047000000}"/>
    <hyperlink ref="A88" location="_1.05.03__" display="_1.05.03__" xr:uid="{00000000-0004-0000-0400-000048000000}"/>
    <hyperlink ref="A89" location="_1.05.04___Viáticos en el exterior" display="_1.05.04___Viáticos en el exterior" xr:uid="{00000000-0004-0000-0400-000049000000}"/>
    <hyperlink ref="A91" location="_1.06__" display="_1.06__" xr:uid="{00000000-0004-0000-0400-00004A000000}"/>
    <hyperlink ref="B91" location="_1.06__" display="_1.06__" xr:uid="{00000000-0004-0000-0400-00004B000000}"/>
    <hyperlink ref="A92" location="_1.06.01__Seguros" display="_1.06.01__Seguros" xr:uid="{00000000-0004-0000-0400-00004C000000}"/>
    <hyperlink ref="A93" location="_1.06.02___Reaseguros" display="_1.06.02___Reaseguros" xr:uid="{00000000-0004-0000-0400-00004D000000}"/>
    <hyperlink ref="A94" location="_1.06.03___Obligaciones por contrato" display="_1.06.03___Obligaciones por contrato" xr:uid="{00000000-0004-0000-0400-00004E000000}"/>
    <hyperlink ref="A96" location="_1.07__" display="_1.07__" xr:uid="{00000000-0004-0000-0400-00004F000000}"/>
    <hyperlink ref="B96" location="_1.07__" display="_1.07__" xr:uid="{00000000-0004-0000-0400-000050000000}"/>
    <hyperlink ref="A97" location="_Hlt506361970" display="_Hlt506361970" xr:uid="{00000000-0004-0000-0400-000051000000}"/>
    <hyperlink ref="A98" location="_1.07.02___Actividades protocolarias" display="_1.07.02___Actividades protocolarias" xr:uid="{00000000-0004-0000-0400-000052000000}"/>
    <hyperlink ref="A99" location="_1.07.03___Gastos de representación " display="_1.07.03___Gastos de representación " xr:uid="{00000000-0004-0000-0400-000053000000}"/>
    <hyperlink ref="A101" location="_1.08__" display="_1.08__" xr:uid="{00000000-0004-0000-0400-000054000000}"/>
    <hyperlink ref="B101" location="_1.08__" display="_1.08__" xr:uid="{00000000-0004-0000-0400-000055000000}"/>
    <hyperlink ref="A102" location="_1.08.01___Mantenimiento de edificio" display="_1.08.01___Mantenimiento de edificio" xr:uid="{00000000-0004-0000-0400-000056000000}"/>
    <hyperlink ref="A103" location="_1.08.02___Mantenimiento de vías de " display="_1.08.02___Mantenimiento de vías de " xr:uid="{00000000-0004-0000-0400-000057000000}"/>
    <hyperlink ref="A104" location="_1.08.03___Mantenimiento de instalac" display="_1.08.03___Mantenimiento de instalac" xr:uid="{00000000-0004-0000-0400-000058000000}"/>
    <hyperlink ref="A105" location="_1.08.04___Mantenimiento y reparació" display="_1.08.04___Mantenimiento y reparació" xr:uid="{00000000-0004-0000-0400-000059000000}"/>
    <hyperlink ref="A106" location="_1.08.05___Mantenimiento y reparació" display="_1.08.05___Mantenimiento y reparació" xr:uid="{00000000-0004-0000-0400-00005A000000}"/>
    <hyperlink ref="A107" location="_1.08.06___  Mantenimiento y reparac" display="_1.08.06___  Mantenimiento y reparac" xr:uid="{00000000-0004-0000-0400-00005B000000}"/>
    <hyperlink ref="A108" location="_1.08.07___Mantenimiento y reparació" display="_1.08.07___Mantenimiento y reparació" xr:uid="{00000000-0004-0000-0400-00005C000000}"/>
    <hyperlink ref="A109" location="_1.08.08___Mantenimiento y reparació" display="_1.08.08___Mantenimiento y reparació" xr:uid="{00000000-0004-0000-0400-00005D000000}"/>
    <hyperlink ref="A110" location="_1.08.99___Mantenimiento y reparació" display="_1.08.99___Mantenimiento y reparació" xr:uid="{00000000-0004-0000-0400-00005E000000}"/>
    <hyperlink ref="A112" location="_1.09___Impuestos" display="_1.09___Impuestos" xr:uid="{00000000-0004-0000-0400-00005F000000}"/>
    <hyperlink ref="B112" location="_1.09___Impuestos" display="_1.09___Impuestos" xr:uid="{00000000-0004-0000-0400-000060000000}"/>
    <hyperlink ref="A113" location="_1.09.01___Impuestos sobre ingresos " display="_1.09.01___Impuestos sobre ingresos " xr:uid="{00000000-0004-0000-0400-000061000000}"/>
    <hyperlink ref="A114" location="_1.09.02___Impuestos sobre bienes in_1" display="_1.09.02___Impuestos sobre bienes in_1" xr:uid="{00000000-0004-0000-0400-000062000000}"/>
    <hyperlink ref="A115" location="_1.09.03___Impuestos de patentes" display="_1.09.03___Impuestos de patentes" xr:uid="{00000000-0004-0000-0400-000063000000}"/>
    <hyperlink ref="A116" location="_1.09.99__" display="_1.09.99__" xr:uid="{00000000-0004-0000-0400-000064000000}"/>
    <hyperlink ref="A118" location="_1.99__" display="_1.99__" xr:uid="{00000000-0004-0000-0400-000065000000}"/>
    <hyperlink ref="B118" location="_1.99__" display="_1.99__" xr:uid="{00000000-0004-0000-0400-000066000000}"/>
    <hyperlink ref="A119" location="_1.99.01___  Servicios de regulación" display="_1.99.01___  Servicios de regulación" xr:uid="{00000000-0004-0000-0400-000067000000}"/>
    <hyperlink ref="A120" location="_1.99.02___  Intereses moratorios y " display="_1.99.02___  Intereses moratorios y " xr:uid="{00000000-0004-0000-0400-000068000000}"/>
    <hyperlink ref="A121" location="_1.99.03___  Gastos de oficinas en e" display="_1.99.03___  Gastos de oficinas en e" xr:uid="{00000000-0004-0000-0400-000069000000}"/>
    <hyperlink ref="A122" location="_1.99.04__" display="_1.99.04__" xr:uid="{00000000-0004-0000-0400-00006A000000}"/>
    <hyperlink ref="A123" location="_1.99.05___  Deducibles" display="_1.99.05___  Deducibles" xr:uid="{00000000-0004-0000-0400-00006B000000}"/>
    <hyperlink ref="A124" location="_Hlt506356377" display="_Hlt506356377" xr:uid="{00000000-0004-0000-0400-00006C000000}"/>
    <hyperlink ref="A126" location="_2___4" display="_2___4" xr:uid="{00000000-0004-0000-0400-00006D000000}"/>
    <hyperlink ref="A127" location="_2.01_Productos_químicos" display="_2.01_Productos_químicos" xr:uid="{00000000-0004-0000-0400-00006E000000}"/>
    <hyperlink ref="B127" location="_2.01_Productos_químicos" display="_2.01_Productos_químicos" xr:uid="{00000000-0004-0000-0400-00006F000000}"/>
    <hyperlink ref="A128" location="_2.01.01___   Combustibles y lubrica_1" display="_2.01.01___   Combustibles y lubrica_1" xr:uid="{00000000-0004-0000-0400-000070000000}"/>
    <hyperlink ref="A129" location="_2.01.02___  Productos farmacéuticos" display="_2.01.02___  Productos farmacéuticos" xr:uid="{00000000-0004-0000-0400-000071000000}"/>
    <hyperlink ref="A130" location="_2.01.03___  Productos veterinarios" display="_2.01.03___  Productos veterinarios" xr:uid="{00000000-0004-0000-0400-000072000000}"/>
    <hyperlink ref="A131" location="_2.01.04___ Tintas, pinturas y diluy" display="_2.01.04___ Tintas, pinturas y diluy" xr:uid="{00000000-0004-0000-0400-000073000000}"/>
    <hyperlink ref="A132" location="_2.01.99___  Otros productos químico" display="_2.01.99___  Otros productos químico" xr:uid="{00000000-0004-0000-0400-000074000000}"/>
    <hyperlink ref="A134" location="_2.02___1" display="_2.02___1" xr:uid="{00000000-0004-0000-0400-000075000000}"/>
    <hyperlink ref="B134" location="_2.02___1" display="_2.02___1" xr:uid="{00000000-0004-0000-0400-000076000000}"/>
    <hyperlink ref="A135" location="_2.02.01__" display="_2.02.01__" xr:uid="{00000000-0004-0000-0400-000077000000}"/>
    <hyperlink ref="A136" location="_2.02.02___Productos agroforestales" display="_2.02.02___Productos agroforestales" xr:uid="{00000000-0004-0000-0400-000078000000}"/>
    <hyperlink ref="A137" location="_2.02.03___Alimentos y bebidas" display="_2.02.03___Alimentos y bebidas" xr:uid="{00000000-0004-0000-0400-000079000000}"/>
    <hyperlink ref="A138" location="_2.02.04___1" display="_2.02.04___1" xr:uid="{00000000-0004-0000-0400-00007A000000}"/>
    <hyperlink ref="A141" location="_2.03__" display="_2.03__" xr:uid="{00000000-0004-0000-0400-00007B000000}"/>
    <hyperlink ref="A142" location="_2.03.01___   Materiales y productos_1" display="_2.03.01___   Materiales y productos_1" xr:uid="{00000000-0004-0000-0400-00007C000000}"/>
    <hyperlink ref="A143" location="_2.03.02___   Materiales y productos_1" display="_2.03.02___   Materiales y productos_1" xr:uid="{00000000-0004-0000-0400-00007D000000}"/>
    <hyperlink ref="A144" location="_2.03.03___    Madera y sus derivado_1" display="_2.03.03___    Madera y sus derivado_1" xr:uid="{00000000-0004-0000-0400-00007E000000}"/>
    <hyperlink ref="A145" location="_2.03.04___  Materiales y productos _1" display="_2.03.04___  Materiales y productos _1" xr:uid="{00000000-0004-0000-0400-00007F000000}"/>
    <hyperlink ref="A146" location="_2.03.05___    Materiales y producto_1" display="_2.03.05___    Materiales y producto_1" xr:uid="{00000000-0004-0000-0400-000080000000}"/>
    <hyperlink ref="A147" location="_Hlt506356393" display="_Hlt506356393" xr:uid="{00000000-0004-0000-0400-000081000000}"/>
    <hyperlink ref="A148" location="_2.03.99___   Otros materiales y pro_1" display="_2.03.99___   Otros materiales y pro_1" xr:uid="{00000000-0004-0000-0400-000082000000}"/>
    <hyperlink ref="A150" location="_2.04__Herramientas," display="_2.04__Herramientas," xr:uid="{00000000-0004-0000-0400-000083000000}"/>
    <hyperlink ref="B150" location="_2.04__Herramientas," display="_2.04__Herramientas," xr:uid="{00000000-0004-0000-0400-000084000000}"/>
    <hyperlink ref="A151" location="_2.04.01___   Herramientas e instrum_1" display="_2.04.01___   Herramientas e instrum_1" xr:uid="{00000000-0004-0000-0400-000085000000}"/>
    <hyperlink ref="A152" location="_2.04.02__" display="_2.04.02__" xr:uid="{00000000-0004-0000-0400-000086000000}"/>
    <hyperlink ref="A154" location="_2.05__" display="_2.05__" xr:uid="{00000000-0004-0000-0400-000087000000}"/>
    <hyperlink ref="A155" location="_2.05.01___Materia prima_1" display="_2.05.01___Materia prima_1" xr:uid="{00000000-0004-0000-0400-000088000000}"/>
    <hyperlink ref="A156" location="_2.05.02___Productos terminados_1" display="_2.05.02___Productos terminados_1" xr:uid="{00000000-0004-0000-0400-000089000000}"/>
    <hyperlink ref="A157" location="_2.05.03___Energía eléctrica_1" display="_2.05.03___Energía eléctrica_1" xr:uid="{00000000-0004-0000-0400-00008A000000}"/>
    <hyperlink ref="A158" location="_Hlt506373174" display="_Hlt506373174" xr:uid="{00000000-0004-0000-0400-00008B000000}"/>
    <hyperlink ref="A160" location="_2.99___1" display="_2.99___1" xr:uid="{00000000-0004-0000-0400-00008C000000}"/>
    <hyperlink ref="B160" location="_2.99___1" display="_2.99___1" xr:uid="{00000000-0004-0000-0400-00008D000000}"/>
    <hyperlink ref="A161" location="_2.99.01__" display="_2.99.01__" xr:uid="{00000000-0004-0000-0400-00008E000000}"/>
    <hyperlink ref="A162" location="_2.99.02___ Útiles y materiales médi" display="_2.99.02___ Útiles y materiales médi" xr:uid="{00000000-0004-0000-0400-00008F000000}"/>
    <hyperlink ref="A163" location="_2.99.03__" display="_2.99.03__" xr:uid="{00000000-0004-0000-0400-000090000000}"/>
    <hyperlink ref="A164" location="_2.99.04__" display="_2.99.04__" xr:uid="{00000000-0004-0000-0400-000091000000}"/>
    <hyperlink ref="A165" location="_2.99.05___ Útiles y materiales de l" display="_2.99.05___ Útiles y materiales de l" xr:uid="{00000000-0004-0000-0400-000092000000}"/>
    <hyperlink ref="A166" location="_2.99.06__" display="_2.99.06__" xr:uid="{00000000-0004-0000-0400-000093000000}"/>
    <hyperlink ref="A167" location="_2.99.07__" display="_2.99.07__" xr:uid="{00000000-0004-0000-0400-000094000000}"/>
    <hyperlink ref="A168" location="_2.99.99__" display="_2.99.99__" xr:uid="{00000000-0004-0000-0400-000095000000}"/>
    <hyperlink ref="A170" location="_3___1" display="_3___1" xr:uid="{00000000-0004-0000-0400-000096000000}"/>
    <hyperlink ref="A171" location="_3.01_Intereses_sobre" display="_3.01_Intereses_sobre" xr:uid="{00000000-0004-0000-0400-000097000000}"/>
    <hyperlink ref="B171" location="_3.01_Intereses_sobre" display="_3.01_Intereses_sobre" xr:uid="{00000000-0004-0000-0400-000098000000}"/>
    <hyperlink ref="A172" location="_3.01.01__" display="_3.01.01__" xr:uid="{00000000-0004-0000-0400-000099000000}"/>
    <hyperlink ref="A173" location="_3.01.02___1" display="_3.01.02___1" xr:uid="{00000000-0004-0000-0400-00009A000000}"/>
    <hyperlink ref="A174" location="_3.01.03__Intereses" display="_3.01.03__Intereses" xr:uid="{00000000-0004-0000-0400-00009B000000}"/>
    <hyperlink ref="A175" location="_3.01.04__Intereses" display="_3.01.04__Intereses" xr:uid="{00000000-0004-0000-0400-00009C000000}"/>
    <hyperlink ref="A177" location="_3.02_Intereses_sobre" display="_3.02_Intereses_sobre" xr:uid="{00000000-0004-0000-0400-00009D000000}"/>
    <hyperlink ref="B177" location="_3.02_Intereses_sobre" display="_3.02_Intereses_sobre" xr:uid="{00000000-0004-0000-0400-00009E000000}"/>
    <hyperlink ref="A178" location="_3.02.01__" display="_3.02.01__" xr:uid="{00000000-0004-0000-0400-00009F000000}"/>
    <hyperlink ref="A179" location="_3.02.02__" display="_3.02.02__" xr:uid="{00000000-0004-0000-0400-0000A0000000}"/>
    <hyperlink ref="A180" location="_3.02.03___1" display="_3.02.03___1" xr:uid="{00000000-0004-0000-0400-0000A1000000}"/>
    <hyperlink ref="A181" location="_3.02.04___Intereses sobre préstamos" display="_3.02.04___Intereses sobre préstamos" xr:uid="{00000000-0004-0000-0400-0000A2000000}"/>
    <hyperlink ref="A182" location="_3.02.05__" display="_3.02.05__" xr:uid="{00000000-0004-0000-0400-0000A3000000}"/>
    <hyperlink ref="A183" location="_3.02.06__" display="_3.02.06__" xr:uid="{00000000-0004-0000-0400-0000A4000000}"/>
    <hyperlink ref="A184" location="_3.02.07__" display="_3.02.07__" xr:uid="{00000000-0004-0000-0400-0000A5000000}"/>
    <hyperlink ref="A185" location="_3.02.08__" display="_3.02.08__" xr:uid="{00000000-0004-0000-0400-0000A6000000}"/>
    <hyperlink ref="A186" location="_3.02.08__" display="_3.02.08__" xr:uid="{00000000-0004-0000-0400-0000A7000000}"/>
    <hyperlink ref="B187" location="_3.03__" display="_3.03__" xr:uid="{00000000-0004-0000-0400-0000A8000000}"/>
    <hyperlink ref="A188" location="_3.03.01__" display="_3.03.01__" xr:uid="{00000000-0004-0000-0400-0000A9000000}"/>
    <hyperlink ref="A189" location="_3.03.99___Intereses sobre otras obl" display="_3.03.99___Intereses sobre otras obl" xr:uid="{00000000-0004-0000-0400-0000AA000000}"/>
    <hyperlink ref="A191" location="_3.04_Comisiones_y" display="_3.04_Comisiones_y" xr:uid="{00000000-0004-0000-0400-0000AB000000}"/>
    <hyperlink ref="B191" location="_3.04_Comisiones_y" display="_3.04_Comisiones_y" xr:uid="{00000000-0004-0000-0400-0000AC000000}"/>
    <hyperlink ref="A192" location="_3.99.01__Comisiones" display="_3.99.01__Comisiones" xr:uid="{00000000-0004-0000-0400-0000AD000000}"/>
    <hyperlink ref="A193" location="_3.99.02__Comisiones" display="_3.99.02__Comisiones" xr:uid="{00000000-0004-0000-0400-0000AE000000}"/>
    <hyperlink ref="A194" location="_3.99.03__" display="_3.99.03__" xr:uid="{00000000-0004-0000-0400-0000AF000000}"/>
    <hyperlink ref="A195" location="_3.99.04__" display="_3.99.04__" xr:uid="{00000000-0004-0000-0400-0000B0000000}"/>
    <hyperlink ref="A196" location="_3.99.05__" display="_3.99.05__" xr:uid="{00000000-0004-0000-0400-0000B1000000}"/>
    <hyperlink ref="A198" location="_4__" display="_4__" xr:uid="{00000000-0004-0000-0400-0000B2000000}"/>
    <hyperlink ref="A199" location="_4.01_Préstamos_1" display="_4.01_Préstamos_1" xr:uid="{00000000-0004-0000-0400-0000B3000000}"/>
    <hyperlink ref="B199" location="_4.01_Préstamos_1" display="_4.01_Préstamos_1" xr:uid="{00000000-0004-0000-0400-0000B4000000}"/>
    <hyperlink ref="A200" location="_4.01.01__" display="_4.01.01__" xr:uid="{00000000-0004-0000-0400-0000B5000000}"/>
    <hyperlink ref="A201" location="_4.01.02__" display="_4.01.02__" xr:uid="{00000000-0004-0000-0400-0000B6000000}"/>
    <hyperlink ref="A202" location="_4.01.03__" display="_4.01.03__" xr:uid="{00000000-0004-0000-0400-0000B7000000}"/>
    <hyperlink ref="A203" location="_4.01.04__" display="_4.01.04__" xr:uid="{00000000-0004-0000-0400-0000B8000000}"/>
    <hyperlink ref="A204" location="_4.01.05__" display="_4.01.05__" xr:uid="{00000000-0004-0000-0400-0000B9000000}"/>
    <hyperlink ref="A205" location="_4.01.06__" display="_4.01.06__" xr:uid="{00000000-0004-0000-0400-0000BA000000}"/>
    <hyperlink ref="A206" location="_4.01.07__" display="_4.01.07__" xr:uid="{00000000-0004-0000-0400-0000BB000000}"/>
    <hyperlink ref="A207" location="_4.01.08__" display="_4.01.08__" xr:uid="{00000000-0004-0000-0400-0000BC000000}"/>
    <hyperlink ref="A209" location="_4.02_Adquisición_" display="_4.02_Adquisición_" xr:uid="{00000000-0004-0000-0400-0000BD000000}"/>
    <hyperlink ref="B209" location="_4.02_Adquisición_" display="_4.02_Adquisición_" xr:uid="{00000000-0004-0000-0400-0000BE000000}"/>
    <hyperlink ref="A210" location="_4.02.01__" display="_4.02.01__" xr:uid="{00000000-0004-0000-0400-0000BF000000}"/>
    <hyperlink ref="A211" location="_4.02.02__" display="_4.02.02__" xr:uid="{00000000-0004-0000-0400-0000C0000000}"/>
    <hyperlink ref="A212" location="_4.02.03__" display="_4.02.03__" xr:uid="{00000000-0004-0000-0400-0000C1000000}"/>
    <hyperlink ref="A213" location="_4.02.04__" display="_4.02.04__" xr:uid="{00000000-0004-0000-0400-0000C2000000}"/>
    <hyperlink ref="A214" location="_4.02.05___1" display="_4.02.05___1" xr:uid="{00000000-0004-0000-0400-0000C3000000}"/>
    <hyperlink ref="A215" location="_4.02.06__" display="_4.02.06__" xr:uid="{00000000-0004-0000-0400-0000C4000000}"/>
    <hyperlink ref="A216" location="_4.02.07__" display="_4.02.07__" xr:uid="{00000000-0004-0000-0400-0000C5000000}"/>
    <hyperlink ref="A217" location="_4.02.08__" display="_4.02.08__" xr:uid="{00000000-0004-0000-0400-0000C6000000}"/>
    <hyperlink ref="A219" location="_4.99.99__" display="_4.99.99__" xr:uid="{00000000-0004-0000-0400-0000C7000000}"/>
    <hyperlink ref="B219" location="_4.99.99__" display="_4.99.99__" xr:uid="{00000000-0004-0000-0400-0000C8000000}"/>
    <hyperlink ref="A220" location="_4.99.01__" display="_4.99.01__" xr:uid="{00000000-0004-0000-0400-0000C9000000}"/>
    <hyperlink ref="A221" location="_4.99.99__" display="_4.99.99__" xr:uid="{00000000-0004-0000-0400-0000CA000000}"/>
    <hyperlink ref="A223" location="_5___1" display="_5___1" xr:uid="{00000000-0004-0000-0400-0000CB000000}"/>
    <hyperlink ref="A224" location="_5.01___1" display="_5.01___1" xr:uid="{00000000-0004-0000-0400-0000CC000000}"/>
    <hyperlink ref="B224" location="_5.01___1" display="_5.01___1" xr:uid="{00000000-0004-0000-0400-0000CD000000}"/>
    <hyperlink ref="A225" location="_5.01.01__" display="_5.01.01__" xr:uid="{00000000-0004-0000-0400-0000CE000000}"/>
    <hyperlink ref="A226" location="_5.01.02___Equipo de transporte" display="_5.01.02___Equipo de transporte" xr:uid="{00000000-0004-0000-0400-0000CF000000}"/>
    <hyperlink ref="A227" location="_5.01.03__" display="_5.01.03__" xr:uid="{00000000-0004-0000-0400-0000D0000000}"/>
    <hyperlink ref="A228" location="_5.01.04___1" display="_5.01.04___1" xr:uid="{00000000-0004-0000-0400-0000D1000000}"/>
    <hyperlink ref="A229" location="_5.01.05__" display="_5.01.05__" xr:uid="{00000000-0004-0000-0400-0000D2000000}"/>
    <hyperlink ref="A230" location="_5.01.06__" display="_5.01.06__" xr:uid="{00000000-0004-0000-0400-0000D3000000}"/>
    <hyperlink ref="A231" location="_5.01.07___1" display="_5.01.07___1" xr:uid="{00000000-0004-0000-0400-0000D4000000}"/>
    <hyperlink ref="A232" location="_5.01.99__" display="_5.01.99__" xr:uid="{00000000-0004-0000-0400-0000D5000000}"/>
    <hyperlink ref="A234" location="_5.02_Construcciones,_adiciones" display="_5.02_Construcciones,_adiciones" xr:uid="{00000000-0004-0000-0400-0000D6000000}"/>
    <hyperlink ref="B234" location="_5.02_Construcciones,_adiciones" display="_5.02_Construcciones,_adiciones" xr:uid="{00000000-0004-0000-0400-0000D7000000}"/>
    <hyperlink ref="A235" location="_5.02.01___Edificios" display="_5.02.01___Edificios" xr:uid="{00000000-0004-0000-0400-0000D8000000}"/>
    <hyperlink ref="A236" location="_5.02.02__" display="_5.02.02__" xr:uid="{00000000-0004-0000-0400-0000D9000000}"/>
    <hyperlink ref="A237" location="_5.02.03___Vías férreas" display="_5.02.03___Vías férreas" xr:uid="{00000000-0004-0000-0400-0000DA000000}"/>
    <hyperlink ref="A238" location="_5.02.04___Obras marítimas y fluvial" display="_5.02.04___Obras marítimas y fluvial" xr:uid="{00000000-0004-0000-0400-0000DB000000}"/>
    <hyperlink ref="A239" location="_5.02.05__" display="_5.02.05__" xr:uid="{00000000-0004-0000-0400-0000DC000000}"/>
    <hyperlink ref="A240" location="_5.02.06__" display="_5.02.06__" xr:uid="{00000000-0004-0000-0400-0000DD000000}"/>
    <hyperlink ref="A241" location="_5.02.07__" display="_5.02.07__" xr:uid="{00000000-0004-0000-0400-0000DE000000}"/>
    <hyperlink ref="A242" location="_5.02.99__" display="_5.02.99__" xr:uid="{00000000-0004-0000-0400-0000DF000000}"/>
    <hyperlink ref="A244" location="_5.03__" display="_5.03__" xr:uid="{00000000-0004-0000-0400-0000E0000000}"/>
    <hyperlink ref="B244" location="_5.03__" display="_5.03__" xr:uid="{00000000-0004-0000-0400-0000E1000000}"/>
    <hyperlink ref="A245" location="_5.03.01__" display="_5.03.01__" xr:uid="{00000000-0004-0000-0400-0000E2000000}"/>
    <hyperlink ref="A246" location="_5.03.02__" display="_5.03.02__" xr:uid="{00000000-0004-0000-0400-0000E3000000}"/>
    <hyperlink ref="A247" location="_5.03.99__" display="_5.03.99__" xr:uid="{00000000-0004-0000-0400-0000E4000000}"/>
    <hyperlink ref="A249" location="_5.99__" display="_5.99__" xr:uid="{00000000-0004-0000-0400-0000E5000000}"/>
    <hyperlink ref="B249" location="_5.99__" display="_5.99__" xr:uid="{00000000-0004-0000-0400-0000E6000000}"/>
    <hyperlink ref="A250" location="_5.99.01___1" display="_5.99.01___1" xr:uid="{00000000-0004-0000-0400-0000E7000000}"/>
    <hyperlink ref="A251" location="_5.99.02__" display="_5.99.02__" xr:uid="{00000000-0004-0000-0400-0000E8000000}"/>
    <hyperlink ref="A252" location="_5.99.03__" display="_5.99.03__" xr:uid="{00000000-0004-0000-0400-0000E9000000}"/>
    <hyperlink ref="A253" location="_5.99.99__" display="_5.99.99__" xr:uid="{00000000-0004-0000-0400-0000EA000000}"/>
    <hyperlink ref="A255" location="_6_TRANSFERENCIAS_CORRIENTES_4" display="_6_TRANSFERENCIAS_CORRIENTES_4" xr:uid="{00000000-0004-0000-0400-0000EB000000}"/>
    <hyperlink ref="A256" location="_6.01__" display="_6.01__" xr:uid="{00000000-0004-0000-0400-0000EC000000}"/>
    <hyperlink ref="B256" location="_6.01__" display="_6.01__" xr:uid="{00000000-0004-0000-0400-0000ED000000}"/>
    <hyperlink ref="A257" location="_6.01.01__" display="_6.01.01__" xr:uid="{00000000-0004-0000-0400-0000EE000000}"/>
    <hyperlink ref="A258" location="_6.01.02__" display="_6.01.02__" xr:uid="{00000000-0004-0000-0400-0000EF000000}"/>
    <hyperlink ref="A259" location="_6.01.03__" display="_6.01.03__" xr:uid="{00000000-0004-0000-0400-0000F0000000}"/>
    <hyperlink ref="A260" location="_6.01.04__" display="_6.01.04__" xr:uid="{00000000-0004-0000-0400-0000F1000000}"/>
    <hyperlink ref="A261" location="_6.01.05__" display="_6.01.05__" xr:uid="{00000000-0004-0000-0400-0000F2000000}"/>
    <hyperlink ref="A262" location="_6.01.06__" display="_6.01.06__" xr:uid="{00000000-0004-0000-0400-0000F3000000}"/>
    <hyperlink ref="A263" location="_6.01.07__" display="_6.01.07__" xr:uid="{00000000-0004-0000-0400-0000F4000000}"/>
    <hyperlink ref="A264" location="_6.01.08__" display="_6.01.08__" xr:uid="{00000000-0004-0000-0400-0000F5000000}"/>
    <hyperlink ref="A265" location="_6.01.09__" display="_6.01.09__" xr:uid="{00000000-0004-0000-0400-0000F6000000}"/>
    <hyperlink ref="A267" location="_6.02___1" display="_6.02___1" xr:uid="{00000000-0004-0000-0400-0000F7000000}"/>
    <hyperlink ref="B267" location="_6.02___1" display="_6.02___1" xr:uid="{00000000-0004-0000-0400-0000F8000000}"/>
    <hyperlink ref="A268" location="_6.02.01__" display="_6.02.01__" xr:uid="{00000000-0004-0000-0400-0000F9000000}"/>
    <hyperlink ref="A269" location="_6.02.02__" display="_6.02.02__" xr:uid="{00000000-0004-0000-0400-0000FA000000}"/>
    <hyperlink ref="A270" location="_6.02.03__" display="_6.02.03__" xr:uid="{00000000-0004-0000-0400-0000FB000000}"/>
    <hyperlink ref="A271" location="_6.02.99__" display="_6.02.99__" xr:uid="{00000000-0004-0000-0400-0000FC000000}"/>
    <hyperlink ref="A273" location="_6.03__" display="_6.03__" xr:uid="{00000000-0004-0000-0400-0000FD000000}"/>
    <hyperlink ref="B273" location="_6.03__" display="_6.03__" xr:uid="{00000000-0004-0000-0400-0000FE000000}"/>
    <hyperlink ref="A274" location="_6.03.01___Prestaciones legales_1" display="_6.03.01___Prestaciones legales_1" xr:uid="{00000000-0004-0000-0400-0000FF000000}"/>
    <hyperlink ref="A275" location="_6.03.02__" display="_6.03.02__" xr:uid="{00000000-0004-0000-0400-000000010000}"/>
    <hyperlink ref="A276" location="_6.03.03__" display="_6.03.03__" xr:uid="{00000000-0004-0000-0400-000001010000}"/>
    <hyperlink ref="A277" location="_6.03.04__" display="_6.03.04__" xr:uid="{00000000-0004-0000-0400-000002010000}"/>
    <hyperlink ref="A278" location="_6.03.05__Cuota" display="_6.03.05__Cuota" xr:uid="{00000000-0004-0000-0400-000003010000}"/>
    <hyperlink ref="A279" location="_6.03.99___1" display="_6.03.99___1" xr:uid="{00000000-0004-0000-0400-000004010000}"/>
    <hyperlink ref="A281" location="_6.04__" display="_6.04__" xr:uid="{00000000-0004-0000-0400-000005010000}"/>
    <hyperlink ref="A282" location="_6.04.01__" display="_6.04.01__" xr:uid="{00000000-0004-0000-0400-000006010000}"/>
    <hyperlink ref="A283" location="_6.04.02__" display="_6.04.02__" xr:uid="{00000000-0004-0000-0400-000007010000}"/>
    <hyperlink ref="A284" location="_6.04.03___1" display="_6.04.03___1" xr:uid="{00000000-0004-0000-0400-000008010000}"/>
    <hyperlink ref="A285" location="_6.04.04__" display="_6.04.04__" xr:uid="{00000000-0004-0000-0400-000009010000}"/>
    <hyperlink ref="A287" location="_6.05__" display="_6.05__" xr:uid="{00000000-0004-0000-0400-00000A010000}"/>
    <hyperlink ref="A288" location="_6.05.01__" display="_6.05.01__" xr:uid="{00000000-0004-0000-0400-00000B010000}"/>
    <hyperlink ref="A290" location="_6.06__" display="_6.06__" xr:uid="{00000000-0004-0000-0400-00000C010000}"/>
    <hyperlink ref="B290" location="_6.06__" display="_6.06__" xr:uid="{00000000-0004-0000-0400-00000D010000}"/>
    <hyperlink ref="A291" location="_6.06.01___1" display="_6.06.01___1" xr:uid="{00000000-0004-0000-0400-00000E010000}"/>
    <hyperlink ref="A292" location="_6.06.02__" display="_6.06.02__" xr:uid="{00000000-0004-0000-0400-00000F010000}"/>
    <hyperlink ref="A294" location="_6.07__" display="_6.07__" xr:uid="{00000000-0004-0000-0400-000010010000}"/>
    <hyperlink ref="B294" location="_6.07__" display="_6.07__" xr:uid="{00000000-0004-0000-0400-000011010000}"/>
    <hyperlink ref="A295" location="_6.07.01__" display="_6.07.01__" xr:uid="{00000000-0004-0000-0400-000012010000}"/>
    <hyperlink ref="A296" location="_6.07.02___1" display="_6.07.02___1" xr:uid="{00000000-0004-0000-0400-000013010000}"/>
    <hyperlink ref="A298" location="_7__" display="_7__" xr:uid="{00000000-0004-0000-0400-000014010000}"/>
    <hyperlink ref="A299" location="_7.01__" display="_7.01__" xr:uid="{00000000-0004-0000-0400-000015010000}"/>
    <hyperlink ref="B299" location="_7.01__" display="_7.01__" xr:uid="{00000000-0004-0000-0400-000016010000}"/>
    <hyperlink ref="A300" location="_7.01.01__" display="_7.01.01__" xr:uid="{00000000-0004-0000-0400-000017010000}"/>
    <hyperlink ref="A301" location="_7.01.02__" display="_7.01.02__" xr:uid="{00000000-0004-0000-0400-000018010000}"/>
    <hyperlink ref="A302" location="_7.01.03__" display="_7.01.03__" xr:uid="{00000000-0004-0000-0400-000019010000}"/>
    <hyperlink ref="A303" location="_7.01.04__" display="_7.01.04__" xr:uid="{00000000-0004-0000-0400-00001A010000}"/>
    <hyperlink ref="A305" location="_7.01.06__" display="_7.01.06__" xr:uid="{00000000-0004-0000-0400-00001B010000}"/>
    <hyperlink ref="A306" location="_7.01.07__" display="_7.01.07__" xr:uid="{00000000-0004-0000-0400-00001C010000}"/>
    <hyperlink ref="A308" location="_7.02__" display="_7.02__" xr:uid="{00000000-0004-0000-0400-00001D010000}"/>
    <hyperlink ref="A309" location="_7.02.01__Transferencias" display="_7.02.01__Transferencias" xr:uid="{00000000-0004-0000-0400-00001E010000}"/>
    <hyperlink ref="A311" location="_7.03___1" display="_7.03___1" xr:uid="{00000000-0004-0000-0400-00001F010000}"/>
    <hyperlink ref="B311" location="_7.03___1" display="_7.03___1" xr:uid="{00000000-0004-0000-0400-000020010000}"/>
    <hyperlink ref="A312" location="_7.03.01__" display="_7.03.01__" xr:uid="{00000000-0004-0000-0400-000021010000}"/>
    <hyperlink ref="A313" location="_7.03.02__" display="_7.03.02__" xr:uid="{00000000-0004-0000-0400-000022010000}"/>
    <hyperlink ref="A314" location="_7.03.03__" display="_7.03.03__" xr:uid="{00000000-0004-0000-0400-000023010000}"/>
    <hyperlink ref="A315" location="_7.03.99_Transferencias_de" display="_7.03.99_Transferencias_de" xr:uid="{00000000-0004-0000-0400-000024010000}"/>
    <hyperlink ref="A317" location="_7.04___1" display="_7.04___1" xr:uid="{00000000-0004-0000-0400-000025010000}"/>
    <hyperlink ref="A318" location="_7.04.01__" display="_7.04.01__" xr:uid="{00000000-0004-0000-0400-000026010000}"/>
    <hyperlink ref="A320" location="_7.05__" display="_7.05__" xr:uid="{00000000-0004-0000-0400-000027010000}"/>
    <hyperlink ref="B320" location="_7.05__" display="_7.05__" xr:uid="{00000000-0004-0000-0400-000028010000}"/>
    <hyperlink ref="A321" location="_7.05.01_Transferencias_de" display="_7.05.01_Transferencias_de" xr:uid="{00000000-0004-0000-0400-000029010000}"/>
    <hyperlink ref="A322" location="_7.05.02__" display="_7.05.02__" xr:uid="{00000000-0004-0000-0400-00002A010000}"/>
    <hyperlink ref="A324" location="_8_AMORTIZACION_2" display="_8_AMORTIZACION_2" xr:uid="{00000000-0004-0000-0400-00002B010000}"/>
    <hyperlink ref="A325" location="_8.01_Amortización_de" display="_8.01_Amortización_de" xr:uid="{00000000-0004-0000-0400-00002C010000}"/>
    <hyperlink ref="B325" location="_8.01_Amortización_de" display="_8.01_Amortización_de" xr:uid="{00000000-0004-0000-0400-00002D010000}"/>
    <hyperlink ref="A326" location="_8.01.01__" display="_8.01.01__" xr:uid="{00000000-0004-0000-0400-00002E010000}"/>
    <hyperlink ref="A327" location="_8.01.02__" display="_8.01.02__" xr:uid="{00000000-0004-0000-0400-00002F010000}"/>
    <hyperlink ref="A328" location="_8.01.03___1" display="_8.01.03___1" xr:uid="{00000000-0004-0000-0400-000030010000}"/>
    <hyperlink ref="A329" location="_8.01.04__" display="_8.01.04__" xr:uid="{00000000-0004-0000-0400-000031010000}"/>
    <hyperlink ref="A331" location="_8.02_Amortización_de" display="_8.02_Amortización_de" xr:uid="{00000000-0004-0000-0400-000032010000}"/>
    <hyperlink ref="B331" location="_8.02_Amortización_de" display="_8.02_Amortización_de" xr:uid="{00000000-0004-0000-0400-000033010000}"/>
    <hyperlink ref="A332" location="_8.02.01__" display="_8.02.01__" xr:uid="{00000000-0004-0000-0400-000034010000}"/>
    <hyperlink ref="A333" location="_8.02.02__" display="_8.02.02__" xr:uid="{00000000-0004-0000-0400-000035010000}"/>
    <hyperlink ref="A334" location="_Amortización_de_préstamos" display="_Amortización_de_préstamos" xr:uid="{00000000-0004-0000-0400-000036010000}"/>
    <hyperlink ref="A335" location="_8.02.04__" display="_8.02.04__" xr:uid="{00000000-0004-0000-0400-000037010000}"/>
    <hyperlink ref="A336" location="_8.02.05__" display="_8.02.05__" xr:uid="{00000000-0004-0000-0400-000038010000}"/>
    <hyperlink ref="A337" location="_8.02.06__" display="_8.02.06__" xr:uid="{00000000-0004-0000-0400-000039010000}"/>
    <hyperlink ref="A338" location="_8.02.07__" display="_8.02.07__" xr:uid="{00000000-0004-0000-0400-00003A010000}"/>
    <hyperlink ref="A339" location="_8.02.08__" display="_8.02.08__" xr:uid="{00000000-0004-0000-0400-00003B010000}"/>
    <hyperlink ref="A341" location="_9___1" display="_9___1" xr:uid="{00000000-0004-0000-0400-00003C010000}"/>
    <hyperlink ref="A342" location="_Hlt506371758" display="_Hlt506371758" xr:uid="{00000000-0004-0000-0400-00003D010000}"/>
    <hyperlink ref="B342" location="_Hlt506371758" display="_Hlt506371758" xr:uid="{00000000-0004-0000-0400-00003E010000}"/>
    <hyperlink ref="A343" location="_9.01.03__" display="_9.01.03__" xr:uid="{00000000-0004-0000-0400-00003F010000}"/>
    <hyperlink ref="A345" location="_9.02__" display="_9.02__" xr:uid="{00000000-0004-0000-0400-000040010000}"/>
    <hyperlink ref="B345" location="_9.02__" display="_9.02__" xr:uid="{00000000-0004-0000-0400-000041010000}"/>
    <hyperlink ref="A346" location="_9.02.01__" display="_9.02.01__" xr:uid="{00000000-0004-0000-0400-000042010000}"/>
    <hyperlink ref="A347" location="_9.02.02__" display="_9.02.02__" xr:uid="{00000000-0004-0000-0400-000043010000}"/>
    <hyperlink ref="B11" location="_0__REMUNERACIONES" display="_0__REMUNERACIONES" xr:uid="{00000000-0004-0000-0400-000044010000}"/>
    <hyperlink ref="B13" location="_0.01.01_Sueldos_para_cargos fijos" display="_0.01.01_Sueldos_para_cargos fijos" xr:uid="{00000000-0004-0000-0400-000045010000}"/>
    <hyperlink ref="B14" location="_0.01.02_Jornales" display="_0.01.02_Jornales" xr:uid="{00000000-0004-0000-0400-000046010000}"/>
    <hyperlink ref="B15" location="_0.01.03___Servicios especiales" display="_0.01.03___Servicios especiales" xr:uid="{00000000-0004-0000-0400-000047010000}"/>
    <hyperlink ref="B16" location="_0.01.04___  Sueldos a base de comis" display="_0.01.04___  Sueldos a base de comis" xr:uid="{00000000-0004-0000-0400-000048010000}"/>
    <hyperlink ref="B17" location="_0.01.05_Suplencias" display="_0.01.05_Suplencias" xr:uid="{00000000-0004-0000-0400-000049010000}"/>
    <hyperlink ref="B20" location="_0.02.01_Tiempo_extraordinario" display="_0.02.01_Tiempo_extraordinario" xr:uid="{00000000-0004-0000-0400-00004A010000}"/>
    <hyperlink ref="B21" location="_0.02.02_Recargo_de_funciones" display="_0.02.02_Recargo_de_funciones" xr:uid="{00000000-0004-0000-0400-00004B010000}"/>
    <hyperlink ref="B22" location="_0.02.03___  Disponibilidad laboral" display="_0.02.03___  Disponibilidad laboral" xr:uid="{00000000-0004-0000-0400-00004C010000}"/>
    <hyperlink ref="B23" location="_Hlt506206007" display="_Hlt506206007" xr:uid="{00000000-0004-0000-0400-00004D010000}"/>
    <hyperlink ref="B24" location="_0.01.05__" display="_0.01.05__" xr:uid="{00000000-0004-0000-0400-00004E010000}"/>
    <hyperlink ref="B27" location="_Hlt506206189" display="_Hlt506206189" xr:uid="{00000000-0004-0000-0400-00004F010000}"/>
    <hyperlink ref="B28" location="_0.03.02_Restricción_al_ejercicio  l" display="_0.03.02_Restricción_al_ejercicio  l" xr:uid="{00000000-0004-0000-0400-000050010000}"/>
    <hyperlink ref="B29" location="_0.03.03___ Decimotercer mes" display="_0.03.03___ Decimotercer mes" xr:uid="{00000000-0004-0000-0400-000051010000}"/>
    <hyperlink ref="B30" location="_0.03.04___ Salario escolar" display="_0.03.04___ Salario escolar" xr:uid="{00000000-0004-0000-0400-000052010000}"/>
    <hyperlink ref="B31" location="_0.03.99__" display="_0.03.99__" xr:uid="{00000000-0004-0000-0400-000053010000}"/>
    <hyperlink ref="B34" location="_Contribución_Patronal_al" display="_Contribución_Patronal_al" xr:uid="{00000000-0004-0000-0400-000054010000}"/>
    <hyperlink ref="B35" location="_0.04.02__" display="_0.04.02__" xr:uid="{00000000-0004-0000-0400-000055010000}"/>
    <hyperlink ref="B36" location="_0.04.03___     Contribución Patrona" display="_0.04.03___     Contribución Patrona" xr:uid="{00000000-0004-0000-0400-000056010000}"/>
    <hyperlink ref="B37" location="_0.04.04___  Contribución Patronal a" display="_0.04.04___  Contribución Patronal a" xr:uid="{00000000-0004-0000-0400-000057010000}"/>
    <hyperlink ref="B38" location="_0.04.05___ Contribución Patronal al" display="_0.04.05___ Contribución Patronal al" xr:uid="{00000000-0004-0000-0400-000058010000}"/>
    <hyperlink ref="B40" location="OLE_LINK6" display="OLE_LINK6" xr:uid="{00000000-0004-0000-0400-000059010000}"/>
    <hyperlink ref="B41" location="OLE_LINK6" display="OLE_LINK6" xr:uid="{00000000-0004-0000-0400-00005A010000}"/>
    <hyperlink ref="B42" location="_0.05.01___Contribución Patronal al " display="_0.05.01___Contribución Patronal al " xr:uid="{00000000-0004-0000-0400-00005B010000}"/>
    <hyperlink ref="B43" location="_0.05.02__" display="_0.05.02__" xr:uid="{00000000-0004-0000-0400-00005C010000}"/>
    <hyperlink ref="B44" location="_0.05.03___ Aporte Patronal al Fondo" display="_0.05.03___ Aporte Patronal al Fondo" xr:uid="{00000000-0004-0000-0400-00005D010000}"/>
    <hyperlink ref="B45" location="_0.05.04___ Contribución  patronal a" display="_0.05.04___ Contribución  patronal a" xr:uid="{00000000-0004-0000-0400-00005E010000}"/>
    <hyperlink ref="B46" location="_0.05.05___Contribución  patronal a " display="_0.05.05___Contribución  patronal a " xr:uid="{00000000-0004-0000-0400-00005F010000}"/>
    <hyperlink ref="A45" location="_0.05.04___ Contribución  patronal a" display="_0.05.04___ Contribución  patronal a" xr:uid="{00000000-0004-0000-0400-000060010000}"/>
    <hyperlink ref="B48" location="OLE_LINK8" display="OLE_LINK8" xr:uid="{00000000-0004-0000-0400-000061010000}"/>
    <hyperlink ref="A50" location="_0.99.99__" display="_0.99.99__" xr:uid="{00000000-0004-0000-0400-000062010000}"/>
    <hyperlink ref="B49" location="_0.99.01___Gastos de representación " display="_0.99.01___Gastos de representación " xr:uid="{00000000-0004-0000-0400-000063010000}"/>
    <hyperlink ref="B50" location="_0.99.99__" display="_0.99.99__" xr:uid="{00000000-0004-0000-0400-000064010000}"/>
    <hyperlink ref="B52" location="_1___4" display="_1___4" xr:uid="{00000000-0004-0000-0400-000065010000}"/>
    <hyperlink ref="B54" location="_1.01.01___Alquiler de edificios, lo" display="_1.01.01___Alquiler de edificios, lo" xr:uid="{00000000-0004-0000-0400-000066010000}"/>
    <hyperlink ref="B55" location="_Hlt506254949" display="_Hlt506254949" xr:uid="{00000000-0004-0000-0400-000067010000}"/>
    <hyperlink ref="B56" location="_1.01.03___ Alquiler de equipo de có" display="_1.01.03___ Alquiler de equipo de có" xr:uid="{00000000-0004-0000-0400-000068010000}"/>
    <hyperlink ref="B57" location="_1.01.04___Alquiler y derechos para " display="_1.01.04___Alquiler y derechos para " xr:uid="{00000000-0004-0000-0400-000069010000}"/>
    <hyperlink ref="B58" location="_1.01.99___Otros alquileres" display="_1.01.99___Otros alquileres" xr:uid="{00000000-0004-0000-0400-00006A010000}"/>
    <hyperlink ref="B61" location="_1.02.01___Servicio de agua y alcant" display="_1.02.01___Servicio de agua y alcant" xr:uid="{00000000-0004-0000-0400-00006B010000}"/>
    <hyperlink ref="B62" location="_1.02.02__" display="_1.02.02__" xr:uid="{00000000-0004-0000-0400-00006C010000}"/>
    <hyperlink ref="B63" location="_1.02.03___ Servicio de correo" display="_1.02.03___ Servicio de correo" xr:uid="{00000000-0004-0000-0400-00006D010000}"/>
    <hyperlink ref="B64" location="_1.02.04___ Servicio de telecomunica" display="_1.02.04___ Servicio de telecomunica" xr:uid="{00000000-0004-0000-0400-00006E010000}"/>
    <hyperlink ref="B65" location="_1.02.99___Otros servicios básicos" display="_1.02.99___Otros servicios básicos" xr:uid="{00000000-0004-0000-0400-00006F010000}"/>
    <hyperlink ref="B68" location="_Hlt506255274" display="_Hlt506255274" xr:uid="{00000000-0004-0000-0400-000070010000}"/>
    <hyperlink ref="B69" location="_1.03.02__" display="_1.03.02__" xr:uid="{00000000-0004-0000-0400-000071010000}"/>
    <hyperlink ref="B70" location="_1.03.03___Impresión, encuadernación" display="_1.03.03___Impresión, encuadernación" xr:uid="{00000000-0004-0000-0400-000072010000}"/>
    <hyperlink ref="B71" location="_1.03.04___   Transporte de bienes" display="_1.03.04___   Transporte de bienes" xr:uid="{00000000-0004-0000-0400-000073010000}"/>
    <hyperlink ref="B72" location="_1.03.05__" display="_1.03.05__" xr:uid="{00000000-0004-0000-0400-000074010000}"/>
    <hyperlink ref="B73" location="_1.03.06___Comisiones y gastos por s" display="_1.03.06___Comisiones y gastos por s" xr:uid="{00000000-0004-0000-0400-000075010000}"/>
    <hyperlink ref="B74" location="_1.03.07___Servicios de transferenci" display="_1.03.07___Servicios de transferenci" xr:uid="{00000000-0004-0000-0400-000076010000}"/>
    <hyperlink ref="B77" location="_1.04.01___Servicios médicos y de la" display="_1.04.01___Servicios médicos y de la" xr:uid="{00000000-0004-0000-0400-000077010000}"/>
    <hyperlink ref="B78" location="_1.04.02___Servicios jurídicos" display="_1.04.02___Servicios jurídicos" xr:uid="{00000000-0004-0000-0400-000078010000}"/>
    <hyperlink ref="B79" location="_1.04.03___Servicios de ingeniería" display="_1.04.03___Servicios de ingeniería" xr:uid="{00000000-0004-0000-0400-000079010000}"/>
    <hyperlink ref="B80" location="_1.04.04___Servicios en ciencias eco" display="_1.04.04___Servicios en ciencias eco" xr:uid="{00000000-0004-0000-0400-00007A010000}"/>
    <hyperlink ref="B81" location="_1.04.05___Servicios de desarrollo d" display="_1.04.05___Servicios de desarrollo d" xr:uid="{00000000-0004-0000-0400-00007B010000}"/>
    <hyperlink ref="B82" location="_1.04.06___Servicios generales" display="_1.04.06___Servicios generales" xr:uid="{00000000-0004-0000-0400-00007C010000}"/>
    <hyperlink ref="B83" location="_1.04.99___Otros servicios de gestió" display="_1.04.99___Otros servicios de gestió" xr:uid="{00000000-0004-0000-0400-00007D010000}"/>
    <hyperlink ref="B86" location="_1.05.01___Transporte dentro del paí" display="_1.05.01___Transporte dentro del paí" xr:uid="{00000000-0004-0000-0400-00007E010000}"/>
    <hyperlink ref="B87" location="_1.05.02___  Viáticos dentro del paí" display="_1.05.02___  Viáticos dentro del paí" xr:uid="{00000000-0004-0000-0400-00007F010000}"/>
    <hyperlink ref="B88" location="_1.05.03__" display="_1.05.03__" xr:uid="{00000000-0004-0000-0400-000080010000}"/>
    <hyperlink ref="B89" location="_1.05.04___Viáticos en el exterior" display="_1.05.04___Viáticos en el exterior" xr:uid="{00000000-0004-0000-0400-000081010000}"/>
    <hyperlink ref="B92" location="_1.06.01__Seguros" display="_1.06.01__Seguros" xr:uid="{00000000-0004-0000-0400-000082010000}"/>
    <hyperlink ref="B93" location="_1.06.02___Reaseguros" display="_1.06.02___Reaseguros" xr:uid="{00000000-0004-0000-0400-000083010000}"/>
    <hyperlink ref="B94" location="_1.06.03___Obligaciones por contrato" display="_1.06.03___Obligaciones por contrato" xr:uid="{00000000-0004-0000-0400-000084010000}"/>
    <hyperlink ref="B97" location="_Hlt506361970" display="_Hlt506361970" xr:uid="{00000000-0004-0000-0400-000085010000}"/>
    <hyperlink ref="B98" location="_1.07.02___Actividades protocolarias" display="_1.07.02___Actividades protocolarias" xr:uid="{00000000-0004-0000-0400-000086010000}"/>
    <hyperlink ref="B99" location="_1.07.03___Gastos de representación " display="_1.07.03___Gastos de representación " xr:uid="{00000000-0004-0000-0400-000087010000}"/>
    <hyperlink ref="B102" location="_1.08.01___Mantenimiento de edificio" display="_1.08.01___Mantenimiento de edificio" xr:uid="{00000000-0004-0000-0400-000088010000}"/>
    <hyperlink ref="B103" location="_1.08.02___Mantenimiento de vías de " display="_1.08.02___Mantenimiento de vías de " xr:uid="{00000000-0004-0000-0400-000089010000}"/>
    <hyperlink ref="B104" location="_1.08.03___Mantenimiento de instalac" display="_1.08.03___Mantenimiento de instalac" xr:uid="{00000000-0004-0000-0400-00008A010000}"/>
    <hyperlink ref="B105" location="_1.08.04___Mantenimiento y reparació" display="_1.08.04___Mantenimiento y reparació" xr:uid="{00000000-0004-0000-0400-00008B010000}"/>
    <hyperlink ref="B106" location="_1.08.05___Mantenimiento y reparació" display="_1.08.05___Mantenimiento y reparació" xr:uid="{00000000-0004-0000-0400-00008C010000}"/>
    <hyperlink ref="B107" location="_1.08.06___  Mantenimiento y reparac" display="_1.08.06___  Mantenimiento y reparac" xr:uid="{00000000-0004-0000-0400-00008D010000}"/>
    <hyperlink ref="B108" location="_1.08.07___Mantenimiento y reparació" display="_1.08.07___Mantenimiento y reparació" xr:uid="{00000000-0004-0000-0400-00008E010000}"/>
    <hyperlink ref="B109" location="_1.08.08___Mantenimiento y reparació" display="_1.08.08___Mantenimiento y reparació" xr:uid="{00000000-0004-0000-0400-00008F010000}"/>
    <hyperlink ref="B110" location="_1.08.99___Mantenimiento y reparació" display="_1.08.99___Mantenimiento y reparació" xr:uid="{00000000-0004-0000-0400-000090010000}"/>
    <hyperlink ref="B113" location="_1.09.01___Impuestos sobre ingresos " display="_1.09.01___Impuestos sobre ingresos " xr:uid="{00000000-0004-0000-0400-000091010000}"/>
    <hyperlink ref="B114" location="_1.09.02___Impuestos sobre bienes in_1" display="_1.09.02___Impuestos sobre bienes in_1" xr:uid="{00000000-0004-0000-0400-000092010000}"/>
    <hyperlink ref="B115" location="_1.09.03___Impuestos de patentes" display="_1.09.03___Impuestos de patentes" xr:uid="{00000000-0004-0000-0400-000093010000}"/>
    <hyperlink ref="B116" location="_1.09.99__" display="_1.09.99__" xr:uid="{00000000-0004-0000-0400-000094010000}"/>
    <hyperlink ref="B119" location="_1.99.01___  Servicios de regulación" display="_1.99.01___  Servicios de regulación" xr:uid="{00000000-0004-0000-0400-000095010000}"/>
    <hyperlink ref="B120" location="_1.99.02___  Intereses moratorios y " display="_1.99.02___  Intereses moratorios y " xr:uid="{00000000-0004-0000-0400-000096010000}"/>
    <hyperlink ref="B121" location="_1.99.03___  Gastos de oficinas en e" display="_1.99.03___  Gastos de oficinas en e" xr:uid="{00000000-0004-0000-0400-000097010000}"/>
    <hyperlink ref="B122" location="_1.99.04__" display="_1.99.04__" xr:uid="{00000000-0004-0000-0400-000098010000}"/>
    <hyperlink ref="B123" location="_1.99.05___  Deducibles" display="_1.99.05___  Deducibles" xr:uid="{00000000-0004-0000-0400-000099010000}"/>
    <hyperlink ref="B124" location="_Hlt506356377" display="_Hlt506356377" xr:uid="{00000000-0004-0000-0400-00009A010000}"/>
    <hyperlink ref="B126" location="_2___4" display="_2___4" xr:uid="{00000000-0004-0000-0400-00009B010000}"/>
    <hyperlink ref="B128" location="_2.01.01___   Combustibles y lubrica_1" display="_2.01.01___   Combustibles y lubrica_1" xr:uid="{00000000-0004-0000-0400-00009C010000}"/>
    <hyperlink ref="B129" location="_2.01.02___  Productos farmacéuticos" display="_2.01.02___  Productos farmacéuticos" xr:uid="{00000000-0004-0000-0400-00009D010000}"/>
    <hyperlink ref="B130" location="_2.01.03___  Productos veterinarios" display="_2.01.03___  Productos veterinarios" xr:uid="{00000000-0004-0000-0400-00009E010000}"/>
    <hyperlink ref="B131" location="_2.01.04___ Tintas, pinturas y diluy" display="_2.01.04___ Tintas, pinturas y diluy" xr:uid="{00000000-0004-0000-0400-00009F010000}"/>
    <hyperlink ref="B132" location="_2.01.99___  Otros productos químico" display="_2.01.99___  Otros productos químico" xr:uid="{00000000-0004-0000-0400-0000A0010000}"/>
    <hyperlink ref="B135" location="_2.02.01__" display="_2.02.01__" xr:uid="{00000000-0004-0000-0400-0000A1010000}"/>
    <hyperlink ref="B136" location="_2.02.02___Productos agroforestales" display="_2.02.02___Productos agroforestales" xr:uid="{00000000-0004-0000-0400-0000A2010000}"/>
    <hyperlink ref="B137" location="_2.02.03___Alimentos y bebidas" display="_2.02.03___Alimentos y bebidas" xr:uid="{00000000-0004-0000-0400-0000A3010000}"/>
    <hyperlink ref="B138" location="_2.02.04___1" display="_2.02.04___1" xr:uid="{00000000-0004-0000-0400-0000A4010000}"/>
    <hyperlink ref="B141" location="_2.03__" display="_2.03__" xr:uid="{00000000-0004-0000-0400-0000A5010000}"/>
    <hyperlink ref="B142" location="_2.03.01___   Materiales y productos_1" display="_2.03.01___   Materiales y productos_1" xr:uid="{00000000-0004-0000-0400-0000A6010000}"/>
    <hyperlink ref="B143" location="_2.03.02___   Materiales y productos_1" display="_2.03.02___   Materiales y productos_1" xr:uid="{00000000-0004-0000-0400-0000A7010000}"/>
    <hyperlink ref="B144" location="_2.03.03___    Madera y sus derivado_1" display="_2.03.03___    Madera y sus derivado_1" xr:uid="{00000000-0004-0000-0400-0000A8010000}"/>
    <hyperlink ref="B145" location="_2.03.04___  Materiales y productos _1" display="_2.03.04___  Materiales y productos _1" xr:uid="{00000000-0004-0000-0400-0000A9010000}"/>
    <hyperlink ref="B146" location="_2.03.05___    Materiales y producto_1" display="_2.03.05___    Materiales y producto_1" xr:uid="{00000000-0004-0000-0400-0000AA010000}"/>
    <hyperlink ref="B147" location="_Hlt506356393" display="_Hlt506356393" xr:uid="{00000000-0004-0000-0400-0000AB010000}"/>
    <hyperlink ref="B148" location="_2.03.99___   Otros materiales y pro_1" display="_2.03.99___   Otros materiales y pro_1" xr:uid="{00000000-0004-0000-0400-0000AC010000}"/>
    <hyperlink ref="B151" location="_2.04.01___   Herramientas e instrum_1" display="_2.04.01___   Herramientas e instrum_1" xr:uid="{00000000-0004-0000-0400-0000AD010000}"/>
    <hyperlink ref="B152" location="_2.04.02__" display="_2.04.02__" xr:uid="{00000000-0004-0000-0400-0000AE010000}"/>
    <hyperlink ref="B154" location="_2.05__" display="_2.05__" xr:uid="{00000000-0004-0000-0400-0000AF010000}"/>
    <hyperlink ref="B155" location="_2.05.01___Materia prima_1" display="_2.05.01___Materia prima_1" xr:uid="{00000000-0004-0000-0400-0000B0010000}"/>
    <hyperlink ref="B156" location="_2.05.02___Productos terminados_1" display="_2.05.02___Productos terminados_1" xr:uid="{00000000-0004-0000-0400-0000B1010000}"/>
    <hyperlink ref="B157" location="_2.05.03___Energía eléctrica_1" display="_2.05.03___Energía eléctrica_1" xr:uid="{00000000-0004-0000-0400-0000B2010000}"/>
    <hyperlink ref="B158" location="_Hlt506373174" display="_Hlt506373174" xr:uid="{00000000-0004-0000-0400-0000B3010000}"/>
    <hyperlink ref="B161" location="_2.99.01__" display="_2.99.01__" xr:uid="{00000000-0004-0000-0400-0000B4010000}"/>
    <hyperlink ref="B162" location="_2.99.02___ Útiles y materiales médi" display="_2.99.02___ Útiles y materiales médi" xr:uid="{00000000-0004-0000-0400-0000B5010000}"/>
    <hyperlink ref="B163" location="_2.99.03__" display="_2.99.03__" xr:uid="{00000000-0004-0000-0400-0000B6010000}"/>
    <hyperlink ref="B164" location="_2.99.04__" display="_2.99.04__" xr:uid="{00000000-0004-0000-0400-0000B7010000}"/>
    <hyperlink ref="B165" location="_2.99.05___ Útiles y materiales de l" display="_2.99.05___ Útiles y materiales de l" xr:uid="{00000000-0004-0000-0400-0000B8010000}"/>
    <hyperlink ref="B166" location="_2.99.06__" display="_2.99.06__" xr:uid="{00000000-0004-0000-0400-0000B9010000}"/>
    <hyperlink ref="B167" location="_2.99.07__" display="_2.99.07__" xr:uid="{00000000-0004-0000-0400-0000BA010000}"/>
    <hyperlink ref="B168" location="_2.99.99__" display="_2.99.99__" xr:uid="{00000000-0004-0000-0400-0000BB010000}"/>
    <hyperlink ref="B170" location="_3___1" display="_3___1" xr:uid="{00000000-0004-0000-0400-0000BC010000}"/>
    <hyperlink ref="B172" location="_3.01.01__" display="_3.01.01__" xr:uid="{00000000-0004-0000-0400-0000BD010000}"/>
    <hyperlink ref="B173" location="_3.01.02___1" display="_3.01.02___1" xr:uid="{00000000-0004-0000-0400-0000BE010000}"/>
    <hyperlink ref="B174" location="_3.01.03__Intereses" display="_3.01.03__Intereses" xr:uid="{00000000-0004-0000-0400-0000BF010000}"/>
    <hyperlink ref="B175" location="_3.01.04__Intereses" display="_3.01.04__Intereses" xr:uid="{00000000-0004-0000-0400-0000C0010000}"/>
    <hyperlink ref="B178" location="_3.02.01__" display="_3.02.01__" xr:uid="{00000000-0004-0000-0400-0000C1010000}"/>
    <hyperlink ref="B179" location="_3.02.02__" display="_3.02.02__" xr:uid="{00000000-0004-0000-0400-0000C2010000}"/>
    <hyperlink ref="B180" location="_3.02.03___1" display="_3.02.03___1" xr:uid="{00000000-0004-0000-0400-0000C3010000}"/>
    <hyperlink ref="B181" location="_3.02.04___Intereses sobre préstamos" display="_3.02.04___Intereses sobre préstamos" xr:uid="{00000000-0004-0000-0400-0000C4010000}"/>
    <hyperlink ref="B182" location="_3.02.05__" display="_3.02.05__" xr:uid="{00000000-0004-0000-0400-0000C5010000}"/>
    <hyperlink ref="B183" location="_3.02.06__" display="_3.02.06__" xr:uid="{00000000-0004-0000-0400-0000C6010000}"/>
    <hyperlink ref="B184" location="_3.02.07__" display="_3.02.07__" xr:uid="{00000000-0004-0000-0400-0000C7010000}"/>
    <hyperlink ref="B185" location="_3.02.08__" display="_3.02.08__" xr:uid="{00000000-0004-0000-0400-0000C8010000}"/>
    <hyperlink ref="A187" location="_3.03__" display="_3.03__" xr:uid="{00000000-0004-0000-0400-0000C9010000}"/>
    <hyperlink ref="B188" location="_3.03.01__" display="_3.03.01__" xr:uid="{00000000-0004-0000-0400-0000CA010000}"/>
    <hyperlink ref="B189" location="_3.03.99___Intereses sobre otras obl" display="_3.03.99___Intereses sobre otras obl" xr:uid="{00000000-0004-0000-0400-0000CB010000}"/>
    <hyperlink ref="B192" location="_3.99.01__Comisiones" display="_3.99.01__Comisiones" xr:uid="{00000000-0004-0000-0400-0000CC010000}"/>
    <hyperlink ref="B193" location="_3.99.02__Comisiones" display="_3.99.02__Comisiones" xr:uid="{00000000-0004-0000-0400-0000CD010000}"/>
    <hyperlink ref="B194" location="_3.99.03__" display="_3.99.03__" xr:uid="{00000000-0004-0000-0400-0000CE010000}"/>
    <hyperlink ref="B195" location="_3.99.04__" display="_3.99.04__" xr:uid="{00000000-0004-0000-0400-0000CF010000}"/>
    <hyperlink ref="B196" location="_3.99.05__" display="_3.99.05__" xr:uid="{00000000-0004-0000-0400-0000D0010000}"/>
    <hyperlink ref="B200" location="_4.01.01__" display="_4.01.01__" xr:uid="{00000000-0004-0000-0400-0000D1010000}"/>
    <hyperlink ref="B201" location="_4.01.02__" display="_4.01.02__" xr:uid="{00000000-0004-0000-0400-0000D2010000}"/>
    <hyperlink ref="B202" location="_4.01.03__" display="_4.01.03__" xr:uid="{00000000-0004-0000-0400-0000D3010000}"/>
    <hyperlink ref="B203" location="_4.01.04__" display="_4.01.04__" xr:uid="{00000000-0004-0000-0400-0000D4010000}"/>
    <hyperlink ref="B204" location="_4.01.05__" display="_4.01.05__" xr:uid="{00000000-0004-0000-0400-0000D5010000}"/>
    <hyperlink ref="B205" location="_4.01.06__" display="_4.01.06__" xr:uid="{00000000-0004-0000-0400-0000D6010000}"/>
    <hyperlink ref="B206" location="_4.01.07__" display="_4.01.07__" xr:uid="{00000000-0004-0000-0400-0000D7010000}"/>
    <hyperlink ref="B207" location="_4.01.08__" display="_4.01.08__" xr:uid="{00000000-0004-0000-0400-0000D8010000}"/>
    <hyperlink ref="B210" location="_4.02.01__" display="_4.02.01__" xr:uid="{00000000-0004-0000-0400-0000D9010000}"/>
    <hyperlink ref="B211" location="_4.02.02__" display="_4.02.02__" xr:uid="{00000000-0004-0000-0400-0000DA010000}"/>
    <hyperlink ref="B212" location="_4.02.03__" display="_4.02.03__" xr:uid="{00000000-0004-0000-0400-0000DB010000}"/>
    <hyperlink ref="B213" location="_4.02.04__" display="_4.02.04__" xr:uid="{00000000-0004-0000-0400-0000DC010000}"/>
    <hyperlink ref="B214" location="_4.02.05___1" display="_4.02.05___1" xr:uid="{00000000-0004-0000-0400-0000DD010000}"/>
    <hyperlink ref="B215" location="_4.02.06__" display="_4.02.06__" xr:uid="{00000000-0004-0000-0400-0000DE010000}"/>
    <hyperlink ref="B216" location="_4.02.07__" display="_4.02.07__" xr:uid="{00000000-0004-0000-0400-0000DF010000}"/>
    <hyperlink ref="B217" location="_4.02.08__" display="_4.02.08__" xr:uid="{00000000-0004-0000-0400-0000E0010000}"/>
    <hyperlink ref="B220" location="_4.99.01__" display="_4.99.01__" xr:uid="{00000000-0004-0000-0400-0000E1010000}"/>
    <hyperlink ref="B221" location="_4.99.99__" display="_4.99.99__" xr:uid="{00000000-0004-0000-0400-0000E2010000}"/>
    <hyperlink ref="B223" location="_5___1" display="_5___1" xr:uid="{00000000-0004-0000-0400-0000E3010000}"/>
    <hyperlink ref="B225" location="_5.01.01__" display="_5.01.01__" xr:uid="{00000000-0004-0000-0400-0000E4010000}"/>
    <hyperlink ref="B226" location="_5.01.02___Equipo de transporte" display="_5.01.02___Equipo de transporte" xr:uid="{00000000-0004-0000-0400-0000E5010000}"/>
    <hyperlink ref="B227" location="_5.01.03__" display="_5.01.03__" xr:uid="{00000000-0004-0000-0400-0000E6010000}"/>
    <hyperlink ref="B228" location="_5.01.04___1" display="_5.01.04___1" xr:uid="{00000000-0004-0000-0400-0000E7010000}"/>
    <hyperlink ref="B229" location="_5.01.05__" display="_5.01.05__" xr:uid="{00000000-0004-0000-0400-0000E8010000}"/>
    <hyperlink ref="B230" location="_5.01.06__" display="_5.01.06__" xr:uid="{00000000-0004-0000-0400-0000E9010000}"/>
    <hyperlink ref="B231" location="_5.01.07___1" display="_5.01.07___1" xr:uid="{00000000-0004-0000-0400-0000EA010000}"/>
    <hyperlink ref="B232" location="_5.01.99__" display="_5.01.99__" xr:uid="{00000000-0004-0000-0400-0000EB010000}"/>
    <hyperlink ref="B235" location="_5.02.01___Edificios" display="_5.02.01___Edificios" xr:uid="{00000000-0004-0000-0400-0000EC010000}"/>
    <hyperlink ref="B236" location="_5.02.02__" display="_5.02.02__" xr:uid="{00000000-0004-0000-0400-0000ED010000}"/>
    <hyperlink ref="B237" location="_5.02.03___Vías férreas" display="_5.02.03___Vías férreas" xr:uid="{00000000-0004-0000-0400-0000EE010000}"/>
    <hyperlink ref="B238" location="_5.02.04___Obras marítimas y fluvial" display="_5.02.04___Obras marítimas y fluvial" xr:uid="{00000000-0004-0000-0400-0000EF010000}"/>
    <hyperlink ref="B239" location="_5.02.05__" display="_5.02.05__" xr:uid="{00000000-0004-0000-0400-0000F0010000}"/>
    <hyperlink ref="B240" location="_5.02.06__" display="_5.02.06__" xr:uid="{00000000-0004-0000-0400-0000F1010000}"/>
    <hyperlink ref="B241" location="_5.02.07__" display="_5.02.07__" xr:uid="{00000000-0004-0000-0400-0000F2010000}"/>
    <hyperlink ref="B242" location="_5.02.99__" display="_5.02.99__" xr:uid="{00000000-0004-0000-0400-0000F3010000}"/>
    <hyperlink ref="B245" location="_5.03.01__" display="_5.03.01__" xr:uid="{00000000-0004-0000-0400-0000F4010000}"/>
    <hyperlink ref="B246" location="_5.03.02__" display="_5.03.02__" xr:uid="{00000000-0004-0000-0400-0000F5010000}"/>
    <hyperlink ref="B247" location="_5.03.99__" display="_5.03.99__" xr:uid="{00000000-0004-0000-0400-0000F6010000}"/>
    <hyperlink ref="B250" location="_5.99.01___1" display="_5.99.01___1" xr:uid="{00000000-0004-0000-0400-0000F7010000}"/>
    <hyperlink ref="B251" location="_5.99.02__" display="_5.99.02__" xr:uid="{00000000-0004-0000-0400-0000F8010000}"/>
    <hyperlink ref="B252" location="_5.99.03__" display="_5.99.03__" xr:uid="{00000000-0004-0000-0400-0000F9010000}"/>
    <hyperlink ref="B253" location="_5.99.99__" display="_5.99.99__" xr:uid="{00000000-0004-0000-0400-0000FA010000}"/>
    <hyperlink ref="B255" location="_6_TRANSFERENCIAS_CORRIENTES_4" display="_6_TRANSFERENCIAS_CORRIENTES_4" xr:uid="{00000000-0004-0000-0400-0000FB010000}"/>
    <hyperlink ref="B268" location="_6.02.01__" display="_6.02.01__" xr:uid="{00000000-0004-0000-0400-0000FC010000}"/>
    <hyperlink ref="B269" location="_6.02.02__" display="_6.02.02__" xr:uid="{00000000-0004-0000-0400-0000FD010000}"/>
    <hyperlink ref="B270" location="_6.02.03__" display="_6.02.03__" xr:uid="{00000000-0004-0000-0400-0000FE010000}"/>
    <hyperlink ref="B271" location="_6.02.99__" display="_6.02.99__" xr:uid="{00000000-0004-0000-0400-0000FF010000}"/>
    <hyperlink ref="B274" location="_6.03.01___Prestaciones legales_1" display="_6.03.01___Prestaciones legales_1" xr:uid="{00000000-0004-0000-0400-000000020000}"/>
    <hyperlink ref="B275" location="_6.03.02__" display="_6.03.02__" xr:uid="{00000000-0004-0000-0400-000001020000}"/>
    <hyperlink ref="B276" location="_6.03.03__" display="_6.03.03__" xr:uid="{00000000-0004-0000-0400-000002020000}"/>
    <hyperlink ref="B277" location="_6.03.04__" display="_6.03.04__" xr:uid="{00000000-0004-0000-0400-000003020000}"/>
    <hyperlink ref="B278" location="_6.03.05__Cuota" display="_6.03.05__Cuota" xr:uid="{00000000-0004-0000-0400-000004020000}"/>
    <hyperlink ref="B279" location="_6.03.99___1" display="_6.03.99___1" xr:uid="{00000000-0004-0000-0400-000005020000}"/>
    <hyperlink ref="B281" location="_6.04__" display="_6.04__" xr:uid="{00000000-0004-0000-0400-000006020000}"/>
    <hyperlink ref="B282" location="_6.04.01__" display="_6.04.01__" xr:uid="{00000000-0004-0000-0400-000007020000}"/>
    <hyperlink ref="B283" location="_6.04.02__" display="_6.04.02__" xr:uid="{00000000-0004-0000-0400-000008020000}"/>
    <hyperlink ref="B284" location="_6.04.03___1" display="_6.04.03___1" xr:uid="{00000000-0004-0000-0400-000009020000}"/>
    <hyperlink ref="B285" location="_6.04.04__" display="_6.04.04__" xr:uid="{00000000-0004-0000-0400-00000A020000}"/>
    <hyperlink ref="B287" location="_6.05__" display="_6.05__" xr:uid="{00000000-0004-0000-0400-00000B020000}"/>
    <hyperlink ref="B288" location="_6.05.01__" display="_6.05.01__" xr:uid="{00000000-0004-0000-0400-00000C020000}"/>
    <hyperlink ref="B291" location="_6.06.01___1" display="_6.06.01___1" xr:uid="{00000000-0004-0000-0400-00000D020000}"/>
    <hyperlink ref="B292" location="_6.06.02__" display="_6.06.02__" xr:uid="{00000000-0004-0000-0400-00000E020000}"/>
    <hyperlink ref="B295" location="_6.07.01__" display="_6.07.01__" xr:uid="{00000000-0004-0000-0400-00000F020000}"/>
    <hyperlink ref="B296" location="_6.07.02___1" display="_6.07.02___1" xr:uid="{00000000-0004-0000-0400-000010020000}"/>
    <hyperlink ref="B257" location="_6.01.01__" display="_6.01.01__" xr:uid="{00000000-0004-0000-0400-000011020000}"/>
    <hyperlink ref="B258" location="_6.01.02__" display="_6.01.02__" xr:uid="{00000000-0004-0000-0400-000012020000}"/>
    <hyperlink ref="B259" location="_6.01.03__" display="_6.01.03__" xr:uid="{00000000-0004-0000-0400-000013020000}"/>
    <hyperlink ref="B260" location="_6.01.04__" display="_6.01.04__" xr:uid="{00000000-0004-0000-0400-000014020000}"/>
    <hyperlink ref="B261" location="_6.01.05__" display="_6.01.05__" xr:uid="{00000000-0004-0000-0400-000015020000}"/>
    <hyperlink ref="B262" location="_6.01.06__" display="_6.01.06__" xr:uid="{00000000-0004-0000-0400-000016020000}"/>
    <hyperlink ref="B263" location="_6.01.07__" display="_6.01.07__" xr:uid="{00000000-0004-0000-0400-000017020000}"/>
    <hyperlink ref="B264" location="_6.01.08__" display="_6.01.08__" xr:uid="{00000000-0004-0000-0400-000018020000}"/>
    <hyperlink ref="B265" location="_6.01.09__" display="_6.01.09__" xr:uid="{00000000-0004-0000-0400-000019020000}"/>
    <hyperlink ref="B298" location="_7__" display="_7__" xr:uid="{00000000-0004-0000-0400-00001A020000}"/>
    <hyperlink ref="B300" location="_7.01.01__" display="_7.01.01__" xr:uid="{00000000-0004-0000-0400-00001B020000}"/>
    <hyperlink ref="B301" location="_7.01.02__" display="_7.01.02__" xr:uid="{00000000-0004-0000-0400-00001C020000}"/>
    <hyperlink ref="B302" location="_7.01.03__" display="_7.01.03__" xr:uid="{00000000-0004-0000-0400-00001D020000}"/>
    <hyperlink ref="B303" location="_7.01.04__" display="_7.01.04__" xr:uid="{00000000-0004-0000-0400-00001E020000}"/>
    <hyperlink ref="B304" location="_7.01.05__" display="_7.01.05__" xr:uid="{00000000-0004-0000-0400-00001F020000}"/>
    <hyperlink ref="B305" location="_7.01.06__" display="_7.01.06__" xr:uid="{00000000-0004-0000-0400-000020020000}"/>
    <hyperlink ref="B306" location="_7.01.07__" display="_7.01.07__" xr:uid="{00000000-0004-0000-0400-000021020000}"/>
    <hyperlink ref="B308" location="_7.02__" display="_7.02__" xr:uid="{00000000-0004-0000-0400-000022020000}"/>
    <hyperlink ref="B309" location="_7.02.01__Transferencias" display="_7.02.01__Transferencias" xr:uid="{00000000-0004-0000-0400-000023020000}"/>
    <hyperlink ref="B312" location="_7.03.01__" display="_7.03.01__" xr:uid="{00000000-0004-0000-0400-000024020000}"/>
    <hyperlink ref="B313" location="_7.03.02__" display="_7.03.02__" xr:uid="{00000000-0004-0000-0400-000025020000}"/>
    <hyperlink ref="B314" location="_7.03.03__" display="_7.03.03__" xr:uid="{00000000-0004-0000-0400-000026020000}"/>
    <hyperlink ref="B315" location="_7.03.99_Transferencias_de" display="_7.03.99_Transferencias_de" xr:uid="{00000000-0004-0000-0400-000027020000}"/>
    <hyperlink ref="B317" location="_7.04___1" display="_7.04___1" xr:uid="{00000000-0004-0000-0400-000028020000}"/>
    <hyperlink ref="B318" location="_7.04.01__" display="_7.04.01__" xr:uid="{00000000-0004-0000-0400-000029020000}"/>
    <hyperlink ref="B321" location="_7.05.01_Transferencias_de" display="_7.05.01_Transferencias_de" xr:uid="{00000000-0004-0000-0400-00002A020000}"/>
    <hyperlink ref="B322" location="_7.05.02__" display="_7.05.02__" xr:uid="{00000000-0004-0000-0400-00002B020000}"/>
    <hyperlink ref="B324" location="_8_AMORTIZACION_2" display="_8_AMORTIZACION_2" xr:uid="{00000000-0004-0000-0400-00002C020000}"/>
    <hyperlink ref="B326" location="_8.01.01__" display="_8.01.01__" xr:uid="{00000000-0004-0000-0400-00002D020000}"/>
    <hyperlink ref="B327" location="_8.01.02__" display="_8.01.02__" xr:uid="{00000000-0004-0000-0400-00002E020000}"/>
    <hyperlink ref="B328" location="_8.01.03___1" display="_8.01.03___1" xr:uid="{00000000-0004-0000-0400-00002F020000}"/>
    <hyperlink ref="B329" location="_8.01.04__" display="_8.01.04__" xr:uid="{00000000-0004-0000-0400-000030020000}"/>
    <hyperlink ref="B332" location="_8.02.01__" display="_8.02.01__" xr:uid="{00000000-0004-0000-0400-000031020000}"/>
    <hyperlink ref="B333" location="_8.02.02__" display="_8.02.02__" xr:uid="{00000000-0004-0000-0400-000032020000}"/>
    <hyperlink ref="B334" location="_Amortización_de_préstamos" display="_Amortización_de_préstamos" xr:uid="{00000000-0004-0000-0400-000033020000}"/>
    <hyperlink ref="B335" location="_8.02.04__" display="_8.02.04__" xr:uid="{00000000-0004-0000-0400-000034020000}"/>
    <hyperlink ref="B336" location="_8.02.05__" display="_8.02.05__" xr:uid="{00000000-0004-0000-0400-000035020000}"/>
    <hyperlink ref="B337" location="_8.02.06__" display="_8.02.06__" xr:uid="{00000000-0004-0000-0400-000036020000}"/>
    <hyperlink ref="B338" location="_8.02.07__" display="_8.02.07__" xr:uid="{00000000-0004-0000-0400-000037020000}"/>
    <hyperlink ref="B339" location="_8.02.08__" display="_8.02.08__" xr:uid="{00000000-0004-0000-0400-000038020000}"/>
    <hyperlink ref="B341" location="_9___1" display="_9___1" xr:uid="{00000000-0004-0000-0400-000039020000}"/>
    <hyperlink ref="B343" location="_9.01.03__" display="_9.01.03__" xr:uid="{00000000-0004-0000-0400-00003A020000}"/>
    <hyperlink ref="B346" location="_9.02.01__" display="_9.02.01__" xr:uid="{00000000-0004-0000-0400-00003B020000}"/>
    <hyperlink ref="B347" location="_9.02.02__" display="_9.02.02__" xr:uid="{00000000-0004-0000-0400-00003C020000}"/>
    <hyperlink ref="B198" location="_4__" display="_4__" xr:uid="{00000000-0004-0000-0400-00003D020000}"/>
    <hyperlink ref="B33" location="OLE_LINK5" display="OLE_LINK5" xr:uid="{00000000-0004-0000-0400-00003E020000}"/>
  </hyperlinks>
  <pageMargins left="0.19685039370078741" right="0" top="0.39370078740157483" bottom="0.59055118110236227" header="0" footer="0"/>
  <pageSetup paperSize="5" scale="70" orientation="landscape" horizontalDpi="4294967294" verticalDpi="144" r:id="rId1"/>
  <headerFooter alignWithMargins="0"/>
  <ignoredErrors>
    <ignoredError sqref="A101" numberStoredAsText="1"/>
    <ignoredError sqref="I12" formulaRange="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50"/>
  <sheetViews>
    <sheetView view="pageLayout" zoomScaleNormal="120" workbookViewId="0">
      <selection activeCell="C9" sqref="C9"/>
    </sheetView>
  </sheetViews>
  <sheetFormatPr baseColWidth="10" defaultRowHeight="15.75" customHeight="1"/>
  <cols>
    <col min="1" max="1" width="9.28515625" style="179" customWidth="1"/>
    <col min="2" max="2" width="59.5703125" style="179" customWidth="1"/>
    <col min="3" max="3" width="16.85546875" style="190" customWidth="1"/>
    <col min="4" max="4" width="16.140625" style="179" customWidth="1"/>
    <col min="5" max="5" width="18.28515625" style="179" customWidth="1"/>
    <col min="6" max="6" width="19.7109375" style="179" customWidth="1"/>
    <col min="7" max="16384" width="11.42578125" style="179"/>
  </cols>
  <sheetData>
    <row r="1" spans="1:8" ht="15.75" customHeight="1">
      <c r="A1" s="1007" t="s">
        <v>199</v>
      </c>
      <c r="B1" s="1007"/>
      <c r="C1" s="1007"/>
    </row>
    <row r="2" spans="1:8" ht="15.75" customHeight="1">
      <c r="A2" s="1007" t="s">
        <v>1353</v>
      </c>
      <c r="B2" s="1007"/>
      <c r="C2" s="1007"/>
    </row>
    <row r="3" spans="1:8" ht="12.75" customHeight="1">
      <c r="A3" s="1008" t="s">
        <v>1006</v>
      </c>
      <c r="B3" s="1008"/>
      <c r="C3" s="1008"/>
    </row>
    <row r="4" spans="1:8" ht="15.75" customHeight="1">
      <c r="A4" s="1007" t="s">
        <v>399</v>
      </c>
      <c r="B4" s="1007"/>
      <c r="C4" s="1007"/>
    </row>
    <row r="5" spans="1:8" ht="15.75" customHeight="1">
      <c r="A5" s="1007" t="s">
        <v>352</v>
      </c>
      <c r="B5" s="1007"/>
      <c r="C5" s="1007"/>
      <c r="D5" s="881"/>
    </row>
    <row r="6" spans="1:8" ht="15.75" customHeight="1">
      <c r="A6" s="1007" t="s">
        <v>1007</v>
      </c>
      <c r="B6" s="1007"/>
      <c r="C6" s="1007"/>
      <c r="D6" s="522"/>
      <c r="F6" s="190"/>
    </row>
    <row r="7" spans="1:8" ht="15.75" customHeight="1">
      <c r="A7" s="180"/>
      <c r="B7" s="180"/>
      <c r="C7" s="289" t="s">
        <v>376</v>
      </c>
      <c r="F7" s="190"/>
    </row>
    <row r="8" spans="1:8" s="200" customFormat="1" ht="21" customHeight="1">
      <c r="A8" s="737" t="s">
        <v>1020</v>
      </c>
      <c r="B8" s="114" t="s">
        <v>217</v>
      </c>
      <c r="C8" s="748" t="s">
        <v>1255</v>
      </c>
      <c r="D8" s="746" t="s">
        <v>1253</v>
      </c>
      <c r="E8" s="747" t="s">
        <v>1254</v>
      </c>
      <c r="F8" s="547"/>
    </row>
    <row r="9" spans="1:8" ht="27" customHeight="1">
      <c r="A9" s="737"/>
      <c r="B9" s="181" t="s">
        <v>189</v>
      </c>
      <c r="C9" s="193">
        <f>+C10+C51+C125+C169+C197+C222+C254+C297+C323+C340</f>
        <v>883781153.43681312</v>
      </c>
      <c r="D9" s="213">
        <f>+'Ingreso Interno'!C102</f>
        <v>2067899674.9300001</v>
      </c>
      <c r="E9" s="190">
        <f>+D9-C9-'Distribucion Programas II '!P10</f>
        <v>1184118521.493187</v>
      </c>
    </row>
    <row r="10" spans="1:8" ht="15.75" customHeight="1">
      <c r="A10" s="181">
        <v>0</v>
      </c>
      <c r="B10" s="181" t="s">
        <v>190</v>
      </c>
      <c r="C10" s="318">
        <f>+C11+C18+C25+C32+C39+C47</f>
        <v>502391191.25282407</v>
      </c>
      <c r="D10" s="190"/>
      <c r="E10" s="190"/>
    </row>
    <row r="11" spans="1:8" ht="15.75" customHeight="1">
      <c r="A11" s="181" t="s">
        <v>218</v>
      </c>
      <c r="B11" s="181" t="s">
        <v>219</v>
      </c>
      <c r="C11" s="318">
        <f>SUM(C12:C16)</f>
        <v>244765786.61947271</v>
      </c>
      <c r="D11" s="213"/>
      <c r="E11" s="213"/>
      <c r="F11" s="526"/>
    </row>
    <row r="12" spans="1:8" ht="15.75" customHeight="1">
      <c r="A12" s="738" t="s">
        <v>296</v>
      </c>
      <c r="B12" s="738" t="s">
        <v>306</v>
      </c>
      <c r="C12" s="318">
        <f>+[2]DGV!$AE$38</f>
        <v>124999446.63957407</v>
      </c>
      <c r="D12" s="190"/>
      <c r="E12" s="213"/>
      <c r="F12" s="190"/>
      <c r="G12" s="190"/>
      <c r="H12" s="190"/>
    </row>
    <row r="13" spans="1:8" ht="15.75" customHeight="1">
      <c r="A13" s="738" t="s">
        <v>297</v>
      </c>
      <c r="B13" s="738" t="s">
        <v>308</v>
      </c>
      <c r="C13" s="860">
        <v>35000000</v>
      </c>
      <c r="D13" s="213"/>
      <c r="E13" s="213"/>
      <c r="F13" s="190"/>
      <c r="G13" s="190"/>
      <c r="H13" s="190"/>
    </row>
    <row r="14" spans="1:8" ht="15.75" customHeight="1">
      <c r="A14" s="738" t="s">
        <v>298</v>
      </c>
      <c r="B14" s="738" t="s">
        <v>307</v>
      </c>
      <c r="C14" s="318">
        <f>+[2]DGV!$AE$53</f>
        <v>76163742.285981715</v>
      </c>
      <c r="D14" s="213"/>
      <c r="E14" s="526"/>
      <c r="F14" s="190"/>
      <c r="G14" s="190"/>
      <c r="H14" s="190"/>
    </row>
    <row r="15" spans="1:8" ht="15.75" customHeight="1">
      <c r="A15" s="738" t="s">
        <v>299</v>
      </c>
      <c r="B15" s="738" t="s">
        <v>309</v>
      </c>
      <c r="C15" s="318"/>
      <c r="D15" s="213"/>
      <c r="F15" s="190"/>
      <c r="G15" s="190"/>
      <c r="H15" s="190"/>
    </row>
    <row r="16" spans="1:8" ht="15.75" customHeight="1">
      <c r="A16" s="738" t="s">
        <v>300</v>
      </c>
      <c r="B16" s="738" t="s">
        <v>310</v>
      </c>
      <c r="C16" s="318">
        <f>+[2]DGV!$AG$38</f>
        <v>8602597.6939169522</v>
      </c>
      <c r="D16" s="213"/>
      <c r="F16" s="213"/>
    </row>
    <row r="17" spans="1:6" ht="15.75" customHeight="1">
      <c r="A17" s="183"/>
      <c r="B17" s="739"/>
      <c r="C17" s="318"/>
      <c r="D17" s="213"/>
      <c r="F17" s="190"/>
    </row>
    <row r="18" spans="1:6" ht="15.75" customHeight="1">
      <c r="A18" s="181" t="s">
        <v>220</v>
      </c>
      <c r="B18" s="181" t="s">
        <v>221</v>
      </c>
      <c r="C18" s="318">
        <f>SUM(C19:C23)</f>
        <v>60000000</v>
      </c>
      <c r="D18" s="190"/>
      <c r="E18" s="190"/>
      <c r="F18" s="190"/>
    </row>
    <row r="19" spans="1:6" ht="15.75" customHeight="1">
      <c r="A19" s="738" t="s">
        <v>301</v>
      </c>
      <c r="B19" s="738" t="s">
        <v>902</v>
      </c>
      <c r="C19" s="860">
        <v>60000000</v>
      </c>
      <c r="D19" s="190"/>
      <c r="E19" s="190"/>
      <c r="F19" s="190"/>
    </row>
    <row r="20" spans="1:6" ht="15.75" customHeight="1">
      <c r="A20" s="738" t="s">
        <v>302</v>
      </c>
      <c r="B20" s="738" t="s">
        <v>903</v>
      </c>
      <c r="C20" s="318"/>
      <c r="D20" s="190"/>
      <c r="E20" s="190"/>
      <c r="F20" s="190"/>
    </row>
    <row r="21" spans="1:6" ht="15.75" customHeight="1">
      <c r="A21" s="738" t="s">
        <v>303</v>
      </c>
      <c r="B21" s="738" t="s">
        <v>904</v>
      </c>
      <c r="C21" s="318"/>
      <c r="D21" s="213"/>
      <c r="E21" s="190"/>
      <c r="F21" s="190"/>
    </row>
    <row r="22" spans="1:6" ht="15.75" customHeight="1">
      <c r="A22" s="738" t="s">
        <v>304</v>
      </c>
      <c r="B22" s="738" t="s">
        <v>905</v>
      </c>
      <c r="C22" s="318">
        <v>0</v>
      </c>
      <c r="D22" s="213"/>
      <c r="E22" s="213"/>
      <c r="F22" s="190"/>
    </row>
    <row r="23" spans="1:6" ht="15.75" customHeight="1">
      <c r="A23" s="738" t="s">
        <v>305</v>
      </c>
      <c r="B23" s="738" t="s">
        <v>906</v>
      </c>
      <c r="C23" s="318"/>
      <c r="D23" s="213"/>
      <c r="F23" s="190"/>
    </row>
    <row r="24" spans="1:6" ht="15.75" customHeight="1">
      <c r="A24" s="183"/>
      <c r="B24" s="739"/>
      <c r="C24" s="318"/>
      <c r="F24" s="190"/>
    </row>
    <row r="25" spans="1:6" ht="15.75" customHeight="1">
      <c r="A25" s="181" t="s">
        <v>222</v>
      </c>
      <c r="B25" s="181" t="s">
        <v>223</v>
      </c>
      <c r="C25" s="318">
        <f>SUM(C26:C30)</f>
        <v>120987461.82313406</v>
      </c>
      <c r="F25" s="213"/>
    </row>
    <row r="26" spans="1:6" ht="15.75" customHeight="1">
      <c r="A26" s="738" t="s">
        <v>311</v>
      </c>
      <c r="B26" s="738" t="s">
        <v>316</v>
      </c>
      <c r="C26" s="318">
        <f>+[2]DGV!$AD$38</f>
        <v>49227941.089777224</v>
      </c>
      <c r="D26" s="190"/>
      <c r="E26" s="778"/>
    </row>
    <row r="27" spans="1:6" ht="15.75" customHeight="1">
      <c r="A27" s="738" t="s">
        <v>312</v>
      </c>
      <c r="B27" s="738" t="s">
        <v>317</v>
      </c>
      <c r="C27" s="318">
        <f>+[2]DGV!$AF$38</f>
        <v>9270059.4563359022</v>
      </c>
      <c r="E27" s="778"/>
    </row>
    <row r="28" spans="1:6" ht="15.75" customHeight="1">
      <c r="A28" s="738" t="s">
        <v>313</v>
      </c>
      <c r="B28" s="738" t="s">
        <v>318</v>
      </c>
      <c r="C28" s="318">
        <f>(+C11+C19+C26+C27+C29)*8.33%</f>
        <v>32738157.108159468</v>
      </c>
      <c r="D28" s="213"/>
      <c r="E28" s="778"/>
    </row>
    <row r="29" spans="1:6" ht="15.75" customHeight="1">
      <c r="A29" s="738" t="s">
        <v>314</v>
      </c>
      <c r="B29" s="738" t="s">
        <v>319</v>
      </c>
      <c r="C29" s="318">
        <f>+(C12+C13+C14+C15+C16+C19+C26+C27)*8.19%</f>
        <v>29751304.168861482</v>
      </c>
      <c r="E29" s="778"/>
    </row>
    <row r="30" spans="1:6" ht="15.75" customHeight="1">
      <c r="A30" s="738" t="s">
        <v>1232</v>
      </c>
      <c r="B30" s="738" t="s">
        <v>319</v>
      </c>
      <c r="C30" s="318"/>
    </row>
    <row r="31" spans="1:6" ht="15.75" customHeight="1">
      <c r="A31" s="183" t="s">
        <v>224</v>
      </c>
      <c r="B31" s="739"/>
      <c r="C31" s="318"/>
    </row>
    <row r="32" spans="1:6" ht="26.25" customHeight="1">
      <c r="A32" s="181" t="s">
        <v>321</v>
      </c>
      <c r="B32" s="284" t="s">
        <v>346</v>
      </c>
      <c r="C32" s="318">
        <f>SUM(C33:C37)</f>
        <v>38318971.405108616</v>
      </c>
    </row>
    <row r="33" spans="1:6" ht="30.75" customHeight="1">
      <c r="A33" s="738" t="s">
        <v>322</v>
      </c>
      <c r="B33" s="738" t="s">
        <v>443</v>
      </c>
      <c r="C33" s="318">
        <f>(+C11+C19+C26+C27+C29)*9.25%</f>
        <v>36353895.948436379</v>
      </c>
      <c r="D33" s="213"/>
      <c r="E33" s="526"/>
    </row>
    <row r="34" spans="1:6" ht="15.75" customHeight="1">
      <c r="A34" s="738" t="s">
        <v>323</v>
      </c>
      <c r="B34" s="738" t="s">
        <v>444</v>
      </c>
      <c r="C34" s="318"/>
    </row>
    <row r="35" spans="1:6" ht="15.75" customHeight="1">
      <c r="A35" s="738" t="s">
        <v>324</v>
      </c>
      <c r="B35" s="738" t="s">
        <v>445</v>
      </c>
      <c r="C35" s="318"/>
    </row>
    <row r="36" spans="1:6" ht="15.75" customHeight="1">
      <c r="A36" s="738" t="s">
        <v>325</v>
      </c>
      <c r="B36" s="738" t="s">
        <v>446</v>
      </c>
      <c r="C36" s="318"/>
    </row>
    <row r="37" spans="1:6" ht="15.75" customHeight="1">
      <c r="A37" s="738" t="s">
        <v>326</v>
      </c>
      <c r="B37" s="738" t="s">
        <v>447</v>
      </c>
      <c r="C37" s="318">
        <f>(+C11+C19+C26+C27+C29)*0.5%</f>
        <v>1965075.456672237</v>
      </c>
      <c r="E37" s="526"/>
    </row>
    <row r="38" spans="1:6" ht="15.75" customHeight="1">
      <c r="A38" s="738" t="s">
        <v>224</v>
      </c>
      <c r="B38" s="738"/>
      <c r="C38" s="318"/>
    </row>
    <row r="39" spans="1:6" ht="15.75" customHeight="1">
      <c r="A39" s="181" t="s">
        <v>327</v>
      </c>
      <c r="B39" s="181" t="s">
        <v>328</v>
      </c>
      <c r="C39" s="319">
        <f>SUM(C41:C45)</f>
        <v>38318971.405108616</v>
      </c>
    </row>
    <row r="40" spans="1:6" ht="15.75" customHeight="1">
      <c r="A40" s="181"/>
      <c r="B40" s="181" t="s">
        <v>225</v>
      </c>
      <c r="C40" s="204"/>
    </row>
    <row r="41" spans="1:6" ht="33.75" customHeight="1">
      <c r="A41" s="738" t="s">
        <v>329</v>
      </c>
      <c r="B41" s="738" t="s">
        <v>342</v>
      </c>
      <c r="C41" s="520">
        <f>(+C11+C19+C26+C27+C29)*5.25%</f>
        <v>20633292.295058485</v>
      </c>
    </row>
    <row r="42" spans="1:6" ht="25.5" customHeight="1">
      <c r="A42" s="738" t="s">
        <v>330</v>
      </c>
      <c r="B42" s="740" t="s">
        <v>343</v>
      </c>
      <c r="C42" s="318">
        <f>(+C11+C19+C26+C27+C29)*1.5%</f>
        <v>5895226.3700167108</v>
      </c>
      <c r="D42" s="526"/>
      <c r="E42" s="526"/>
    </row>
    <row r="43" spans="1:6" ht="17.25" customHeight="1">
      <c r="A43" s="738" t="s">
        <v>331</v>
      </c>
      <c r="B43" s="740" t="s">
        <v>341</v>
      </c>
      <c r="C43" s="318">
        <f>(+C11+C19+C26+C27+C29)*3%</f>
        <v>11790452.740033422</v>
      </c>
      <c r="D43" s="850">
        <f>+'Distrib Programas III Poyectos'!F10+'Distrib Programas III Poyectos'!N10</f>
        <v>0</v>
      </c>
      <c r="E43" s="526"/>
      <c r="F43" s="825"/>
    </row>
    <row r="44" spans="1:6" ht="17.25" customHeight="1">
      <c r="A44" s="738" t="s">
        <v>332</v>
      </c>
      <c r="B44" s="740" t="s">
        <v>344</v>
      </c>
      <c r="C44" s="318"/>
      <c r="D44" s="850">
        <f>+D43*3%</f>
        <v>0</v>
      </c>
      <c r="E44" s="213"/>
    </row>
    <row r="45" spans="1:6" ht="15.75" customHeight="1">
      <c r="A45" s="741" t="s">
        <v>333</v>
      </c>
      <c r="B45" s="741" t="s">
        <v>345</v>
      </c>
      <c r="C45" s="320"/>
    </row>
    <row r="46" spans="1:6" ht="15.75" customHeight="1">
      <c r="A46" s="742"/>
      <c r="B46" s="742"/>
      <c r="C46" s="309"/>
      <c r="E46" s="526"/>
    </row>
    <row r="47" spans="1:6" ht="15.75" customHeight="1">
      <c r="A47" s="189" t="s">
        <v>335</v>
      </c>
      <c r="B47" s="189" t="s">
        <v>334</v>
      </c>
      <c r="C47" s="321">
        <f>SUM(C48:C49)</f>
        <v>0</v>
      </c>
    </row>
    <row r="48" spans="1:6" ht="15.75" customHeight="1">
      <c r="A48" s="738" t="s">
        <v>337</v>
      </c>
      <c r="B48" s="738" t="s">
        <v>339</v>
      </c>
      <c r="C48" s="318"/>
    </row>
    <row r="49" spans="1:4" ht="15.75" customHeight="1">
      <c r="A49" s="738" t="s">
        <v>338</v>
      </c>
      <c r="B49" s="738" t="s">
        <v>340</v>
      </c>
      <c r="C49" s="318"/>
    </row>
    <row r="50" spans="1:4" ht="15.75" customHeight="1">
      <c r="A50" s="183"/>
      <c r="B50" s="739"/>
      <c r="C50" s="318"/>
    </row>
    <row r="51" spans="1:4" ht="15.75" customHeight="1">
      <c r="A51" s="185">
        <v>1</v>
      </c>
      <c r="B51" s="187" t="s">
        <v>448</v>
      </c>
      <c r="C51" s="318">
        <f>+C52+C59+C66+C75+C84+C90+C95+C100+C111+C117</f>
        <v>122151103.50398892</v>
      </c>
      <c r="D51" s="778"/>
    </row>
    <row r="52" spans="1:4" ht="15.75" customHeight="1">
      <c r="A52" s="181" t="s">
        <v>226</v>
      </c>
      <c r="B52" s="181" t="s">
        <v>973</v>
      </c>
      <c r="C52" s="318">
        <f>SUM(C53:C57)</f>
        <v>5000000</v>
      </c>
      <c r="D52" s="778"/>
    </row>
    <row r="53" spans="1:4" ht="15.75" customHeight="1">
      <c r="A53" s="738" t="s">
        <v>449</v>
      </c>
      <c r="B53" s="738" t="s">
        <v>454</v>
      </c>
      <c r="C53" s="318"/>
      <c r="D53" s="778"/>
    </row>
    <row r="54" spans="1:4" ht="15.75" customHeight="1">
      <c r="A54" s="738" t="s">
        <v>450</v>
      </c>
      <c r="B54" s="738" t="s">
        <v>455</v>
      </c>
      <c r="C54" s="318">
        <v>5000000</v>
      </c>
      <c r="D54" s="778"/>
    </row>
    <row r="55" spans="1:4" ht="15.75" customHeight="1">
      <c r="A55" s="738" t="s">
        <v>451</v>
      </c>
      <c r="B55" s="738" t="s">
        <v>456</v>
      </c>
      <c r="C55" s="318"/>
    </row>
    <row r="56" spans="1:4" ht="15.75" customHeight="1">
      <c r="A56" s="738" t="s">
        <v>452</v>
      </c>
      <c r="B56" s="738" t="s">
        <v>457</v>
      </c>
      <c r="C56" s="318"/>
    </row>
    <row r="57" spans="1:4" ht="15.75" customHeight="1">
      <c r="A57" s="738" t="s">
        <v>453</v>
      </c>
      <c r="B57" s="738" t="s">
        <v>458</v>
      </c>
      <c r="C57" s="318"/>
    </row>
    <row r="58" spans="1:4" ht="15.75" customHeight="1">
      <c r="A58" s="743"/>
      <c r="B58" s="743"/>
      <c r="C58" s="321"/>
    </row>
    <row r="59" spans="1:4" ht="15.75" customHeight="1">
      <c r="A59" s="189" t="s">
        <v>227</v>
      </c>
      <c r="B59" s="189" t="s">
        <v>228</v>
      </c>
      <c r="C59" s="321">
        <f>SUM(C60:C64)</f>
        <v>8000000</v>
      </c>
    </row>
    <row r="60" spans="1:4" ht="15.75" customHeight="1">
      <c r="A60" s="738" t="s">
        <v>459</v>
      </c>
      <c r="B60" s="738" t="s">
        <v>464</v>
      </c>
      <c r="C60" s="318">
        <v>2500000</v>
      </c>
    </row>
    <row r="61" spans="1:4" ht="15.75" customHeight="1">
      <c r="A61" s="738" t="s">
        <v>460</v>
      </c>
      <c r="B61" s="738" t="s">
        <v>465</v>
      </c>
      <c r="C61" s="318">
        <v>3500000</v>
      </c>
    </row>
    <row r="62" spans="1:4" ht="15.75" customHeight="1">
      <c r="A62" s="738" t="s">
        <v>461</v>
      </c>
      <c r="B62" s="738" t="s">
        <v>466</v>
      </c>
      <c r="C62" s="318"/>
    </row>
    <row r="63" spans="1:4" ht="15.75" customHeight="1">
      <c r="A63" s="738" t="s">
        <v>462</v>
      </c>
      <c r="B63" s="738" t="s">
        <v>467</v>
      </c>
      <c r="C63" s="318">
        <v>2000000</v>
      </c>
    </row>
    <row r="64" spans="1:4" ht="15.75" customHeight="1">
      <c r="A64" s="738" t="s">
        <v>463</v>
      </c>
      <c r="B64" s="738" t="s">
        <v>468</v>
      </c>
      <c r="C64" s="318"/>
    </row>
    <row r="65" spans="1:3" ht="15.75" customHeight="1">
      <c r="A65" s="183"/>
      <c r="B65" s="739"/>
      <c r="C65" s="318"/>
    </row>
    <row r="66" spans="1:3" ht="15.75" customHeight="1">
      <c r="A66" s="181" t="s">
        <v>229</v>
      </c>
      <c r="B66" s="181" t="s">
        <v>230</v>
      </c>
      <c r="C66" s="318">
        <f>SUM(C67:C73)</f>
        <v>2600000</v>
      </c>
    </row>
    <row r="67" spans="1:3" ht="15.75" customHeight="1">
      <c r="A67" s="738" t="s">
        <v>469</v>
      </c>
      <c r="B67" s="738" t="s">
        <v>475</v>
      </c>
      <c r="C67" s="318">
        <v>600000</v>
      </c>
    </row>
    <row r="68" spans="1:3" ht="15.75" customHeight="1">
      <c r="A68" s="738" t="s">
        <v>470</v>
      </c>
      <c r="B68" s="738" t="s">
        <v>476</v>
      </c>
      <c r="C68" s="318">
        <v>500000</v>
      </c>
    </row>
    <row r="69" spans="1:3" ht="15.75" customHeight="1">
      <c r="A69" s="738" t="s">
        <v>471</v>
      </c>
      <c r="B69" s="738" t="s">
        <v>477</v>
      </c>
      <c r="C69" s="318">
        <v>1000000</v>
      </c>
    </row>
    <row r="70" spans="1:3" ht="15.75" customHeight="1">
      <c r="A70" s="738" t="s">
        <v>472</v>
      </c>
      <c r="B70" s="738" t="s">
        <v>478</v>
      </c>
      <c r="C70" s="318">
        <v>500000</v>
      </c>
    </row>
    <row r="71" spans="1:3" ht="15.75" customHeight="1">
      <c r="A71" s="738" t="s">
        <v>473</v>
      </c>
      <c r="B71" s="738" t="s">
        <v>479</v>
      </c>
      <c r="C71" s="318"/>
    </row>
    <row r="72" spans="1:3" ht="15.75" customHeight="1">
      <c r="A72" s="738" t="s">
        <v>474</v>
      </c>
      <c r="B72" s="738" t="s">
        <v>482</v>
      </c>
      <c r="C72" s="318"/>
    </row>
    <row r="73" spans="1:3" ht="15.75" customHeight="1">
      <c r="A73" s="738" t="s">
        <v>484</v>
      </c>
      <c r="B73" s="738" t="s">
        <v>483</v>
      </c>
      <c r="C73" s="860">
        <v>0</v>
      </c>
    </row>
    <row r="74" spans="1:3" ht="15.75" customHeight="1">
      <c r="A74" s="738"/>
      <c r="B74" s="738"/>
      <c r="C74" s="318"/>
    </row>
    <row r="75" spans="1:3" ht="15.75" customHeight="1">
      <c r="A75" s="181" t="s">
        <v>231</v>
      </c>
      <c r="B75" s="181" t="s">
        <v>232</v>
      </c>
      <c r="C75" s="318">
        <f>SUM(C76:C82)</f>
        <v>9500000</v>
      </c>
    </row>
    <row r="76" spans="1:3" ht="15.75" customHeight="1">
      <c r="A76" s="738" t="s">
        <v>485</v>
      </c>
      <c r="B76" s="738" t="s">
        <v>492</v>
      </c>
      <c r="C76" s="318"/>
    </row>
    <row r="77" spans="1:3" ht="15.75" customHeight="1">
      <c r="A77" s="738" t="s">
        <v>486</v>
      </c>
      <c r="B77" s="738" t="s">
        <v>493</v>
      </c>
      <c r="C77" s="318"/>
    </row>
    <row r="78" spans="1:3" ht="15.75" customHeight="1">
      <c r="A78" s="738" t="s">
        <v>487</v>
      </c>
      <c r="B78" s="738" t="s">
        <v>494</v>
      </c>
      <c r="C78" s="318">
        <v>5000000</v>
      </c>
    </row>
    <row r="79" spans="1:3" ht="15.75" customHeight="1">
      <c r="A79" s="738" t="s">
        <v>488</v>
      </c>
      <c r="B79" s="738" t="s">
        <v>495</v>
      </c>
      <c r="C79" s="318"/>
    </row>
    <row r="80" spans="1:3" ht="15.75" customHeight="1">
      <c r="A80" s="738" t="s">
        <v>489</v>
      </c>
      <c r="B80" s="738" t="s">
        <v>496</v>
      </c>
      <c r="C80" s="318">
        <v>4000000</v>
      </c>
    </row>
    <row r="81" spans="1:4" ht="15.75" customHeight="1">
      <c r="A81" s="738" t="s">
        <v>490</v>
      </c>
      <c r="B81" s="738" t="s">
        <v>497</v>
      </c>
      <c r="C81" s="318">
        <v>500000</v>
      </c>
    </row>
    <row r="82" spans="1:4" ht="15.75" customHeight="1">
      <c r="A82" s="738" t="s">
        <v>491</v>
      </c>
      <c r="B82" s="738" t="s">
        <v>498</v>
      </c>
      <c r="C82" s="318"/>
    </row>
    <row r="83" spans="1:4" ht="15.75" customHeight="1">
      <c r="A83" s="183"/>
      <c r="B83" s="739"/>
      <c r="C83" s="318"/>
    </row>
    <row r="84" spans="1:4" ht="15.75" customHeight="1">
      <c r="A84" s="181" t="s">
        <v>233</v>
      </c>
      <c r="B84" s="181" t="s">
        <v>234</v>
      </c>
      <c r="C84" s="318">
        <f>SUM(C85:C88)</f>
        <v>18000000</v>
      </c>
    </row>
    <row r="85" spans="1:4" ht="15.75" customHeight="1">
      <c r="A85" s="738" t="s">
        <v>499</v>
      </c>
      <c r="B85" s="738" t="s">
        <v>503</v>
      </c>
      <c r="C85" s="318">
        <v>0</v>
      </c>
    </row>
    <row r="86" spans="1:4" ht="15.75" customHeight="1">
      <c r="A86" s="738" t="s">
        <v>500</v>
      </c>
      <c r="B86" s="738" t="s">
        <v>504</v>
      </c>
      <c r="C86" s="318">
        <v>18000000</v>
      </c>
    </row>
    <row r="87" spans="1:4" ht="15.75" customHeight="1">
      <c r="A87" s="738" t="s">
        <v>501</v>
      </c>
      <c r="B87" s="738" t="s">
        <v>505</v>
      </c>
      <c r="C87" s="318" t="s">
        <v>1106</v>
      </c>
    </row>
    <row r="88" spans="1:4" ht="15.75" customHeight="1">
      <c r="A88" s="738" t="s">
        <v>502</v>
      </c>
      <c r="B88" s="738" t="s">
        <v>506</v>
      </c>
      <c r="C88" s="318"/>
    </row>
    <row r="89" spans="1:4" ht="15.75" customHeight="1">
      <c r="A89" s="183"/>
      <c r="B89" s="739"/>
      <c r="C89" s="318"/>
    </row>
    <row r="90" spans="1:4" ht="15.75" customHeight="1">
      <c r="A90" s="181" t="s">
        <v>235</v>
      </c>
      <c r="B90" s="181" t="s">
        <v>236</v>
      </c>
      <c r="C90" s="318">
        <f>SUM(C91:C93)</f>
        <v>37712103.503988922</v>
      </c>
    </row>
    <row r="91" spans="1:4" ht="15.75" customHeight="1">
      <c r="A91" s="738" t="s">
        <v>507</v>
      </c>
      <c r="B91" s="738" t="s">
        <v>512</v>
      </c>
      <c r="C91" s="318">
        <f>+((C12+C13+C14+C15+C16+C19+C26+C27+C29+'[9]Distrib Programas III Poyectos'!H10+'[9]Distrib Programas III Poyectos'!P10)*1.1%)+300000+12000000+21000000</f>
        <v>37712103.503988922</v>
      </c>
      <c r="D91" s="213"/>
    </row>
    <row r="92" spans="1:4" ht="15.75" customHeight="1">
      <c r="A92" s="738" t="s">
        <v>508</v>
      </c>
      <c r="B92" s="738" t="s">
        <v>513</v>
      </c>
      <c r="C92" s="318"/>
    </row>
    <row r="93" spans="1:4" ht="15.75" customHeight="1">
      <c r="A93" s="741" t="s">
        <v>511</v>
      </c>
      <c r="B93" s="741" t="s">
        <v>514</v>
      </c>
      <c r="C93" s="320"/>
    </row>
    <row r="94" spans="1:4" ht="15.75" customHeight="1">
      <c r="A94" s="310"/>
      <c r="B94" s="744"/>
      <c r="C94" s="309"/>
    </row>
    <row r="95" spans="1:4" ht="15.75" customHeight="1">
      <c r="A95" s="189" t="s">
        <v>238</v>
      </c>
      <c r="B95" s="189" t="s">
        <v>239</v>
      </c>
      <c r="C95" s="205">
        <f>+C96</f>
        <v>1839000</v>
      </c>
    </row>
    <row r="96" spans="1:4" ht="15.75" customHeight="1">
      <c r="A96" s="738" t="s">
        <v>515</v>
      </c>
      <c r="B96" s="738" t="s">
        <v>518</v>
      </c>
      <c r="C96" s="193">
        <v>1839000</v>
      </c>
    </row>
    <row r="97" spans="1:3" ht="15.75" customHeight="1">
      <c r="A97" s="738" t="s">
        <v>516</v>
      </c>
      <c r="B97" s="738" t="s">
        <v>519</v>
      </c>
      <c r="C97" s="193">
        <v>0</v>
      </c>
    </row>
    <row r="98" spans="1:3" ht="15.75" customHeight="1">
      <c r="A98" s="738" t="s">
        <v>517</v>
      </c>
      <c r="B98" s="738" t="s">
        <v>520</v>
      </c>
      <c r="C98" s="193"/>
    </row>
    <row r="99" spans="1:3" ht="15.75" customHeight="1">
      <c r="A99" s="183"/>
      <c r="B99" s="739"/>
      <c r="C99" s="193"/>
    </row>
    <row r="100" spans="1:3" ht="15.75" customHeight="1">
      <c r="A100" s="181" t="s">
        <v>240</v>
      </c>
      <c r="B100" s="181" t="s">
        <v>241</v>
      </c>
      <c r="C100" s="193">
        <f>SUM(C101:C109)</f>
        <v>35000000</v>
      </c>
    </row>
    <row r="101" spans="1:3" ht="15.75" customHeight="1">
      <c r="A101" s="738" t="s">
        <v>521</v>
      </c>
      <c r="B101" s="738" t="s">
        <v>530</v>
      </c>
      <c r="C101" s="193">
        <v>3000000</v>
      </c>
    </row>
    <row r="102" spans="1:3" ht="15.75" customHeight="1">
      <c r="A102" s="738" t="s">
        <v>522</v>
      </c>
      <c r="B102" s="738" t="s">
        <v>531</v>
      </c>
      <c r="C102" s="193">
        <v>0</v>
      </c>
    </row>
    <row r="103" spans="1:3" ht="15.75" customHeight="1">
      <c r="A103" s="738" t="s">
        <v>523</v>
      </c>
      <c r="B103" s="738" t="s">
        <v>532</v>
      </c>
      <c r="C103" s="193"/>
    </row>
    <row r="104" spans="1:3" ht="20.25" customHeight="1">
      <c r="A104" s="738" t="s">
        <v>524</v>
      </c>
      <c r="B104" s="740" t="s">
        <v>534</v>
      </c>
      <c r="C104" s="193">
        <v>15000000</v>
      </c>
    </row>
    <row r="105" spans="1:3" ht="15.75" customHeight="1">
      <c r="A105" s="738" t="s">
        <v>525</v>
      </c>
      <c r="B105" s="738" t="s">
        <v>533</v>
      </c>
      <c r="C105" s="193">
        <v>15000000</v>
      </c>
    </row>
    <row r="106" spans="1:3" ht="15.75" customHeight="1">
      <c r="A106" s="738" t="s">
        <v>526</v>
      </c>
      <c r="B106" s="738" t="s">
        <v>538</v>
      </c>
      <c r="C106" s="193"/>
    </row>
    <row r="107" spans="1:3" ht="15.75" customHeight="1">
      <c r="A107" s="738" t="s">
        <v>527</v>
      </c>
      <c r="B107" s="738" t="s">
        <v>535</v>
      </c>
      <c r="C107" s="193">
        <v>0</v>
      </c>
    </row>
    <row r="108" spans="1:3" ht="28.5" customHeight="1">
      <c r="A108" s="738" t="s">
        <v>528</v>
      </c>
      <c r="B108" s="740" t="s">
        <v>536</v>
      </c>
      <c r="C108" s="193">
        <v>2000000</v>
      </c>
    </row>
    <row r="109" spans="1:3" ht="15.75" customHeight="1">
      <c r="A109" s="738" t="s">
        <v>529</v>
      </c>
      <c r="B109" s="738" t="s">
        <v>537</v>
      </c>
      <c r="C109" s="193">
        <v>0</v>
      </c>
    </row>
    <row r="110" spans="1:3" ht="15.75" customHeight="1">
      <c r="A110" s="183"/>
      <c r="B110" s="739"/>
      <c r="C110" s="193"/>
    </row>
    <row r="111" spans="1:3" ht="26.25" customHeight="1">
      <c r="A111" s="181" t="s">
        <v>242</v>
      </c>
      <c r="B111" s="181" t="s">
        <v>243</v>
      </c>
      <c r="C111" s="193">
        <f>SUM(C112:C115)</f>
        <v>3000000</v>
      </c>
    </row>
    <row r="112" spans="1:3" ht="15.75" customHeight="1">
      <c r="A112" s="738" t="s">
        <v>539</v>
      </c>
      <c r="B112" s="738" t="s">
        <v>543</v>
      </c>
      <c r="C112" s="193"/>
    </row>
    <row r="113" spans="1:3" ht="15.75" customHeight="1">
      <c r="A113" s="738" t="s">
        <v>540</v>
      </c>
      <c r="B113" s="738" t="s">
        <v>544</v>
      </c>
      <c r="C113" s="193"/>
    </row>
    <row r="114" spans="1:3" ht="15.75" customHeight="1">
      <c r="A114" s="738" t="s">
        <v>541</v>
      </c>
      <c r="B114" s="738" t="s">
        <v>545</v>
      </c>
      <c r="C114" s="193"/>
    </row>
    <row r="115" spans="1:3" ht="15.75" customHeight="1">
      <c r="A115" s="738" t="s">
        <v>542</v>
      </c>
      <c r="B115" s="738" t="s">
        <v>546</v>
      </c>
      <c r="C115" s="193">
        <v>3000000</v>
      </c>
    </row>
    <row r="116" spans="1:3" ht="15.75" customHeight="1">
      <c r="A116" s="183"/>
      <c r="B116" s="739"/>
      <c r="C116" s="193"/>
    </row>
    <row r="117" spans="1:3" ht="15.75" customHeight="1">
      <c r="A117" s="189" t="s">
        <v>244</v>
      </c>
      <c r="B117" s="189" t="s">
        <v>245</v>
      </c>
      <c r="C117" s="205">
        <f>SUM(C118:C123)</f>
        <v>1500000</v>
      </c>
    </row>
    <row r="118" spans="1:3" ht="15.75" customHeight="1">
      <c r="A118" s="738" t="s">
        <v>547</v>
      </c>
      <c r="B118" s="738" t="s">
        <v>555</v>
      </c>
      <c r="C118" s="193"/>
    </row>
    <row r="119" spans="1:3" ht="15.75" customHeight="1">
      <c r="A119" s="738" t="s">
        <v>549</v>
      </c>
      <c r="B119" s="738" t="s">
        <v>556</v>
      </c>
      <c r="C119" s="193"/>
    </row>
    <row r="120" spans="1:3" ht="15.75" customHeight="1">
      <c r="A120" s="738" t="s">
        <v>550</v>
      </c>
      <c r="B120" s="738" t="s">
        <v>557</v>
      </c>
      <c r="C120" s="193"/>
    </row>
    <row r="121" spans="1:3" ht="15.75" customHeight="1">
      <c r="A121" s="738" t="s">
        <v>551</v>
      </c>
      <c r="B121" s="738" t="s">
        <v>558</v>
      </c>
      <c r="C121" s="193"/>
    </row>
    <row r="122" spans="1:3" ht="15.75" customHeight="1">
      <c r="A122" s="738" t="s">
        <v>552</v>
      </c>
      <c r="B122" s="738" t="s">
        <v>559</v>
      </c>
      <c r="C122" s="193">
        <v>1500000</v>
      </c>
    </row>
    <row r="123" spans="1:3" ht="15.75" customHeight="1">
      <c r="A123" s="738" t="s">
        <v>553</v>
      </c>
      <c r="B123" s="738" t="s">
        <v>560</v>
      </c>
      <c r="C123" s="193"/>
    </row>
    <row r="124" spans="1:3" ht="15.75" customHeight="1">
      <c r="A124" s="183"/>
      <c r="B124" s="739"/>
      <c r="C124" s="193"/>
    </row>
    <row r="125" spans="1:3" ht="15.75" customHeight="1">
      <c r="A125" s="181">
        <v>2</v>
      </c>
      <c r="B125" s="181" t="s">
        <v>561</v>
      </c>
      <c r="C125" s="193">
        <f>+C126+C133+C140+C149+C153+C159</f>
        <v>68963488.739999995</v>
      </c>
    </row>
    <row r="126" spans="1:3" ht="15.75" customHeight="1">
      <c r="A126" s="181" t="s">
        <v>246</v>
      </c>
      <c r="B126" s="181" t="s">
        <v>247</v>
      </c>
      <c r="C126" s="193">
        <f>SUM(C127:C131)</f>
        <v>17500000</v>
      </c>
    </row>
    <row r="127" spans="1:3" ht="15.75" customHeight="1">
      <c r="A127" s="738" t="s">
        <v>562</v>
      </c>
      <c r="B127" s="738" t="s">
        <v>581</v>
      </c>
      <c r="C127" s="193">
        <v>16850000</v>
      </c>
    </row>
    <row r="128" spans="1:3" ht="15.75" customHeight="1">
      <c r="A128" s="738" t="s">
        <v>563</v>
      </c>
      <c r="B128" s="738" t="s">
        <v>582</v>
      </c>
      <c r="C128" s="193"/>
    </row>
    <row r="129" spans="1:3" ht="15.75" customHeight="1">
      <c r="A129" s="738" t="s">
        <v>564</v>
      </c>
      <c r="B129" s="738" t="s">
        <v>583</v>
      </c>
      <c r="C129" s="193"/>
    </row>
    <row r="130" spans="1:3" ht="15.75" customHeight="1">
      <c r="A130" s="738" t="s">
        <v>579</v>
      </c>
      <c r="B130" s="738" t="s">
        <v>584</v>
      </c>
      <c r="C130" s="193">
        <v>500000</v>
      </c>
    </row>
    <row r="131" spans="1:3" ht="15.75" customHeight="1">
      <c r="A131" s="738" t="s">
        <v>580</v>
      </c>
      <c r="B131" s="738" t="s">
        <v>585</v>
      </c>
      <c r="C131" s="193">
        <v>150000</v>
      </c>
    </row>
    <row r="132" spans="1:3" ht="15.75" customHeight="1">
      <c r="A132" s="738"/>
      <c r="B132" s="738"/>
      <c r="C132" s="193"/>
    </row>
    <row r="133" spans="1:3" ht="15.75" customHeight="1">
      <c r="A133" s="181" t="s">
        <v>248</v>
      </c>
      <c r="B133" s="181" t="s">
        <v>249</v>
      </c>
      <c r="C133" s="193">
        <f>SUM(C134:C137)</f>
        <v>500000</v>
      </c>
    </row>
    <row r="134" spans="1:3" ht="15.75" customHeight="1">
      <c r="A134" s="738" t="s">
        <v>590</v>
      </c>
      <c r="B134" s="738" t="s">
        <v>586</v>
      </c>
      <c r="C134" s="193"/>
    </row>
    <row r="135" spans="1:3" ht="15.75" customHeight="1">
      <c r="A135" s="738" t="s">
        <v>591</v>
      </c>
      <c r="B135" s="738" t="s">
        <v>587</v>
      </c>
      <c r="C135" s="193"/>
    </row>
    <row r="136" spans="1:3" ht="15.75" customHeight="1">
      <c r="A136" s="738" t="s">
        <v>592</v>
      </c>
      <c r="B136" s="738" t="s">
        <v>588</v>
      </c>
      <c r="C136" s="193">
        <v>500000</v>
      </c>
    </row>
    <row r="137" spans="1:3" ht="15.75" customHeight="1">
      <c r="A137" s="741" t="s">
        <v>593</v>
      </c>
      <c r="B137" s="741" t="s">
        <v>589</v>
      </c>
      <c r="C137" s="285"/>
    </row>
    <row r="138" spans="1:3" ht="15.75" customHeight="1">
      <c r="A138" s="313"/>
      <c r="B138" s="745"/>
      <c r="C138" s="307"/>
    </row>
    <row r="139" spans="1:3" ht="15.75" customHeight="1">
      <c r="A139" s="310"/>
      <c r="B139" s="744"/>
      <c r="C139" s="309"/>
    </row>
    <row r="140" spans="1:3" ht="15.75" customHeight="1">
      <c r="A140" s="189" t="s">
        <v>594</v>
      </c>
      <c r="B140" s="189" t="s">
        <v>595</v>
      </c>
      <c r="C140" s="205">
        <f>SUM(C141:C147)</f>
        <v>3700000</v>
      </c>
    </row>
    <row r="141" spans="1:3" ht="15.75" customHeight="1">
      <c r="A141" s="738" t="s">
        <v>596</v>
      </c>
      <c r="B141" s="738" t="s">
        <v>603</v>
      </c>
      <c r="C141" s="193">
        <v>1000000</v>
      </c>
    </row>
    <row r="142" spans="1:3" ht="15.75" customHeight="1">
      <c r="A142" s="738" t="s">
        <v>597</v>
      </c>
      <c r="B142" s="738" t="s">
        <v>604</v>
      </c>
      <c r="C142" s="193">
        <v>1000000</v>
      </c>
    </row>
    <row r="143" spans="1:3" ht="15.75" customHeight="1">
      <c r="A143" s="738" t="s">
        <v>598</v>
      </c>
      <c r="B143" s="738" t="s">
        <v>605</v>
      </c>
      <c r="C143" s="193">
        <v>500000</v>
      </c>
    </row>
    <row r="144" spans="1:3" ht="15.75" customHeight="1">
      <c r="A144" s="738" t="s">
        <v>599</v>
      </c>
      <c r="B144" s="738" t="s">
        <v>606</v>
      </c>
      <c r="C144" s="193">
        <v>500000</v>
      </c>
    </row>
    <row r="145" spans="1:3" ht="15.75" customHeight="1">
      <c r="A145" s="738" t="s">
        <v>600</v>
      </c>
      <c r="B145" s="738" t="s">
        <v>607</v>
      </c>
      <c r="C145" s="193">
        <v>0</v>
      </c>
    </row>
    <row r="146" spans="1:3" ht="31.5" customHeight="1">
      <c r="A146" s="738" t="s">
        <v>601</v>
      </c>
      <c r="B146" s="738" t="s">
        <v>608</v>
      </c>
      <c r="C146" s="193">
        <v>500000</v>
      </c>
    </row>
    <row r="147" spans="1:3" ht="15.75" customHeight="1">
      <c r="A147" s="738" t="s">
        <v>602</v>
      </c>
      <c r="B147" s="738" t="s">
        <v>609</v>
      </c>
      <c r="C147" s="193">
        <v>200000</v>
      </c>
    </row>
    <row r="148" spans="1:3" ht="15.75" customHeight="1">
      <c r="A148" s="183"/>
      <c r="B148" s="739"/>
      <c r="C148" s="193"/>
    </row>
    <row r="149" spans="1:3" ht="15.75" customHeight="1">
      <c r="A149" s="181" t="s">
        <v>250</v>
      </c>
      <c r="B149" s="181" t="s">
        <v>251</v>
      </c>
      <c r="C149" s="193">
        <f>SUM(C150:C151)</f>
        <v>36263488.739999995</v>
      </c>
    </row>
    <row r="150" spans="1:3" ht="15.75" customHeight="1">
      <c r="A150" s="738" t="s">
        <v>610</v>
      </c>
      <c r="B150" s="738" t="s">
        <v>612</v>
      </c>
      <c r="C150" s="193">
        <v>6000000</v>
      </c>
    </row>
    <row r="151" spans="1:3" ht="15.75" customHeight="1">
      <c r="A151" s="738" t="s">
        <v>611</v>
      </c>
      <c r="B151" s="738" t="s">
        <v>613</v>
      </c>
      <c r="C151" s="193">
        <f>30000000-1000000+576619.31+686869.43</f>
        <v>30263488.739999998</v>
      </c>
    </row>
    <row r="152" spans="1:3" ht="15.75" customHeight="1">
      <c r="A152" s="183"/>
      <c r="B152" s="739"/>
      <c r="C152" s="193"/>
    </row>
    <row r="153" spans="1:3" ht="15.75" customHeight="1">
      <c r="A153" s="181" t="s">
        <v>614</v>
      </c>
      <c r="B153" s="181" t="s">
        <v>615</v>
      </c>
      <c r="C153" s="193">
        <f>SUM(C154:C157)</f>
        <v>0</v>
      </c>
    </row>
    <row r="154" spans="1:3" ht="15.75" customHeight="1">
      <c r="A154" s="738" t="s">
        <v>616</v>
      </c>
      <c r="B154" s="738" t="s">
        <v>620</v>
      </c>
      <c r="C154" s="193"/>
    </row>
    <row r="155" spans="1:3" ht="15.75" customHeight="1">
      <c r="A155" s="738" t="s">
        <v>617</v>
      </c>
      <c r="B155" s="738" t="s">
        <v>621</v>
      </c>
      <c r="C155" s="193"/>
    </row>
    <row r="156" spans="1:3" ht="15.75" customHeight="1">
      <c r="A156" s="738" t="s">
        <v>618</v>
      </c>
      <c r="B156" s="738" t="s">
        <v>622</v>
      </c>
      <c r="C156" s="193"/>
    </row>
    <row r="157" spans="1:3" ht="15.75" customHeight="1">
      <c r="A157" s="738" t="s">
        <v>619</v>
      </c>
      <c r="B157" s="738" t="s">
        <v>623</v>
      </c>
      <c r="C157" s="193"/>
    </row>
    <row r="158" spans="1:3" ht="15.75" customHeight="1">
      <c r="A158" s="183"/>
      <c r="B158" s="739"/>
      <c r="C158" s="193"/>
    </row>
    <row r="159" spans="1:3" ht="15.75" customHeight="1">
      <c r="A159" s="181" t="s">
        <v>252</v>
      </c>
      <c r="B159" s="181" t="s">
        <v>253</v>
      </c>
      <c r="C159" s="193">
        <f>SUM(C160:C167)</f>
        <v>11000000</v>
      </c>
    </row>
    <row r="160" spans="1:3" ht="15.75" customHeight="1">
      <c r="A160" s="738" t="s">
        <v>624</v>
      </c>
      <c r="B160" s="738" t="s">
        <v>434</v>
      </c>
      <c r="C160" s="193">
        <v>1500000</v>
      </c>
    </row>
    <row r="161" spans="1:3" ht="15.75" customHeight="1">
      <c r="A161" s="738" t="s">
        <v>625</v>
      </c>
      <c r="B161" s="738" t="s">
        <v>435</v>
      </c>
      <c r="C161" s="193"/>
    </row>
    <row r="162" spans="1:3" ht="15.75" customHeight="1">
      <c r="A162" s="738" t="s">
        <v>626</v>
      </c>
      <c r="B162" s="738" t="s">
        <v>436</v>
      </c>
      <c r="C162" s="193">
        <v>1500000</v>
      </c>
    </row>
    <row r="163" spans="1:3" ht="15.75" customHeight="1">
      <c r="A163" s="738" t="s">
        <v>627</v>
      </c>
      <c r="B163" s="738" t="s">
        <v>437</v>
      </c>
      <c r="C163" s="193">
        <v>0</v>
      </c>
    </row>
    <row r="164" spans="1:3" ht="15.75" customHeight="1">
      <c r="A164" s="738" t="s">
        <v>628</v>
      </c>
      <c r="B164" s="738" t="s">
        <v>438</v>
      </c>
      <c r="C164" s="193">
        <v>1500000</v>
      </c>
    </row>
    <row r="165" spans="1:3" ht="15.75" customHeight="1">
      <c r="A165" s="738" t="s">
        <v>629</v>
      </c>
      <c r="B165" s="738" t="s">
        <v>439</v>
      </c>
      <c r="C165" s="193">
        <v>6000000</v>
      </c>
    </row>
    <row r="166" spans="1:3" ht="15.75" customHeight="1">
      <c r="A166" s="738" t="s">
        <v>630</v>
      </c>
      <c r="B166" s="738" t="s">
        <v>440</v>
      </c>
      <c r="C166" s="193">
        <v>0</v>
      </c>
    </row>
    <row r="167" spans="1:3" ht="15.75" customHeight="1">
      <c r="A167" s="738" t="s">
        <v>631</v>
      </c>
      <c r="B167" s="738" t="s">
        <v>441</v>
      </c>
      <c r="C167" s="193">
        <v>500000</v>
      </c>
    </row>
    <row r="168" spans="1:3" ht="15.75" customHeight="1">
      <c r="A168" s="183"/>
      <c r="B168" s="739"/>
      <c r="C168" s="193"/>
    </row>
    <row r="169" spans="1:3" ht="15.75" customHeight="1">
      <c r="A169" s="181">
        <v>3</v>
      </c>
      <c r="B169" s="181" t="s">
        <v>193</v>
      </c>
      <c r="C169" s="193">
        <f>+C170+C176+C186+C190</f>
        <v>28973967.510000002</v>
      </c>
    </row>
    <row r="170" spans="1:3" ht="15.75" customHeight="1">
      <c r="A170" s="181" t="s">
        <v>254</v>
      </c>
      <c r="B170" s="181" t="s">
        <v>255</v>
      </c>
      <c r="C170" s="193">
        <f>SUM(C171:C174)</f>
        <v>0</v>
      </c>
    </row>
    <row r="171" spans="1:3" ht="15.75" customHeight="1">
      <c r="A171" s="738" t="s">
        <v>632</v>
      </c>
      <c r="B171" s="738" t="s">
        <v>636</v>
      </c>
      <c r="C171" s="193"/>
    </row>
    <row r="172" spans="1:3" ht="15.75" customHeight="1">
      <c r="A172" s="738" t="s">
        <v>633</v>
      </c>
      <c r="B172" s="738" t="s">
        <v>637</v>
      </c>
      <c r="C172" s="193"/>
    </row>
    <row r="173" spans="1:3" ht="15.75" customHeight="1">
      <c r="A173" s="738" t="s">
        <v>634</v>
      </c>
      <c r="B173" s="738" t="s">
        <v>638</v>
      </c>
      <c r="C173" s="193"/>
    </row>
    <row r="174" spans="1:3" ht="15.75" customHeight="1">
      <c r="A174" s="738" t="s">
        <v>635</v>
      </c>
      <c r="B174" s="738" t="s">
        <v>639</v>
      </c>
      <c r="C174" s="193"/>
    </row>
    <row r="175" spans="1:3" ht="15.75" customHeight="1">
      <c r="A175" s="738"/>
      <c r="B175" s="738"/>
      <c r="C175" s="193"/>
    </row>
    <row r="176" spans="1:3" ht="15.75" customHeight="1">
      <c r="A176" s="189" t="s">
        <v>256</v>
      </c>
      <c r="B176" s="189" t="s">
        <v>257</v>
      </c>
      <c r="C176" s="205">
        <f>SUM(C177:C184)</f>
        <v>28973967.510000002</v>
      </c>
    </row>
    <row r="177" spans="1:3" ht="15.75" customHeight="1">
      <c r="A177" s="738" t="s">
        <v>640</v>
      </c>
      <c r="B177" s="738" t="s">
        <v>648</v>
      </c>
      <c r="C177" s="193"/>
    </row>
    <row r="178" spans="1:3" ht="15.75" customHeight="1">
      <c r="A178" s="738" t="s">
        <v>641</v>
      </c>
      <c r="B178" s="738" t="s">
        <v>649</v>
      </c>
      <c r="C178" s="193"/>
    </row>
    <row r="179" spans="1:3" ht="15.75" customHeight="1">
      <c r="A179" s="738" t="s">
        <v>642</v>
      </c>
      <c r="B179" s="738" t="s">
        <v>650</v>
      </c>
      <c r="C179" s="193"/>
    </row>
    <row r="180" spans="1:3" ht="15.75" customHeight="1">
      <c r="A180" s="738" t="s">
        <v>643</v>
      </c>
      <c r="B180" s="738" t="s">
        <v>651</v>
      </c>
      <c r="C180" s="193"/>
    </row>
    <row r="181" spans="1:3" ht="15.75" customHeight="1">
      <c r="A181" s="738" t="s">
        <v>644</v>
      </c>
      <c r="B181" s="738" t="s">
        <v>653</v>
      </c>
      <c r="C181" s="193"/>
    </row>
    <row r="182" spans="1:3" ht="15.75" customHeight="1">
      <c r="A182" s="738" t="s">
        <v>645</v>
      </c>
      <c r="B182" s="738" t="s">
        <v>652</v>
      </c>
      <c r="C182" s="193">
        <v>28973967.510000002</v>
      </c>
    </row>
    <row r="183" spans="1:3" ht="15.75" customHeight="1">
      <c r="A183" s="738" t="s">
        <v>646</v>
      </c>
      <c r="B183" s="738" t="s">
        <v>654</v>
      </c>
      <c r="C183" s="193"/>
    </row>
    <row r="184" spans="1:3" ht="15.75" customHeight="1">
      <c r="A184" s="738" t="s">
        <v>647</v>
      </c>
      <c r="B184" s="738" t="s">
        <v>658</v>
      </c>
      <c r="C184" s="193"/>
    </row>
    <row r="185" spans="1:3" ht="15.75" customHeight="1">
      <c r="A185" s="742"/>
      <c r="B185" s="744"/>
      <c r="C185" s="309"/>
    </row>
    <row r="186" spans="1:3" ht="15.75" customHeight="1">
      <c r="A186" s="189" t="s">
        <v>659</v>
      </c>
      <c r="B186" s="189" t="s">
        <v>660</v>
      </c>
      <c r="C186" s="205">
        <f>SUM(C187:C188)</f>
        <v>0</v>
      </c>
    </row>
    <row r="187" spans="1:3" ht="15.75" customHeight="1">
      <c r="A187" s="738" t="s">
        <v>663</v>
      </c>
      <c r="B187" s="738" t="s">
        <v>661</v>
      </c>
      <c r="C187" s="193"/>
    </row>
    <row r="188" spans="1:3" ht="15.75" customHeight="1">
      <c r="A188" s="738" t="s">
        <v>664</v>
      </c>
      <c r="B188" s="738" t="s">
        <v>662</v>
      </c>
      <c r="C188" s="193"/>
    </row>
    <row r="189" spans="1:3" ht="15.75" customHeight="1">
      <c r="A189" s="183"/>
      <c r="B189" s="739"/>
      <c r="C189" s="193"/>
    </row>
    <row r="190" spans="1:3" ht="15.75" customHeight="1">
      <c r="A190" s="181" t="s">
        <v>258</v>
      </c>
      <c r="B190" s="181" t="s">
        <v>259</v>
      </c>
      <c r="C190" s="193">
        <f>SUM(C191:C195)</f>
        <v>0</v>
      </c>
    </row>
    <row r="191" spans="1:3" ht="15.75" customHeight="1">
      <c r="A191" s="738" t="s">
        <v>665</v>
      </c>
      <c r="B191" s="738" t="s">
        <v>671</v>
      </c>
      <c r="C191" s="193"/>
    </row>
    <row r="192" spans="1:3" ht="15.75" customHeight="1">
      <c r="A192" s="738" t="s">
        <v>666</v>
      </c>
      <c r="B192" s="738" t="s">
        <v>672</v>
      </c>
      <c r="C192" s="193"/>
    </row>
    <row r="193" spans="1:3" ht="15.75" customHeight="1">
      <c r="A193" s="738" t="s">
        <v>668</v>
      </c>
      <c r="B193" s="738" t="s">
        <v>673</v>
      </c>
      <c r="C193" s="193"/>
    </row>
    <row r="194" spans="1:3" ht="15.75" customHeight="1">
      <c r="A194" s="738" t="s">
        <v>669</v>
      </c>
      <c r="B194" s="738" t="s">
        <v>674</v>
      </c>
      <c r="C194" s="193"/>
    </row>
    <row r="195" spans="1:3" ht="15.75" customHeight="1">
      <c r="A195" s="738" t="s">
        <v>670</v>
      </c>
      <c r="B195" s="738" t="s">
        <v>687</v>
      </c>
      <c r="C195" s="193"/>
    </row>
    <row r="196" spans="1:3" ht="15.75" customHeight="1">
      <c r="A196" s="183"/>
      <c r="B196" s="739"/>
      <c r="C196" s="193"/>
    </row>
    <row r="197" spans="1:3" ht="15.75" customHeight="1">
      <c r="A197" s="181">
        <v>4</v>
      </c>
      <c r="B197" s="181" t="s">
        <v>194</v>
      </c>
      <c r="C197" s="193">
        <f>+C198+C208+C218</f>
        <v>0</v>
      </c>
    </row>
    <row r="198" spans="1:3" ht="15.75" customHeight="1">
      <c r="A198" s="181" t="s">
        <v>260</v>
      </c>
      <c r="B198" s="181" t="s">
        <v>261</v>
      </c>
      <c r="C198" s="193">
        <f>SUM(C199:C206)</f>
        <v>0</v>
      </c>
    </row>
    <row r="199" spans="1:3" ht="15.75" customHeight="1">
      <c r="A199" s="738" t="s">
        <v>688</v>
      </c>
      <c r="B199" s="738" t="s">
        <v>696</v>
      </c>
      <c r="C199" s="193"/>
    </row>
    <row r="200" spans="1:3" ht="15.75" customHeight="1">
      <c r="A200" s="738" t="s">
        <v>689</v>
      </c>
      <c r="B200" s="738" t="s">
        <v>697</v>
      </c>
      <c r="C200" s="193"/>
    </row>
    <row r="201" spans="1:3" ht="15.75" customHeight="1">
      <c r="A201" s="738" t="s">
        <v>690</v>
      </c>
      <c r="B201" s="738" t="s">
        <v>698</v>
      </c>
      <c r="C201" s="193"/>
    </row>
    <row r="202" spans="1:3" ht="15.75" customHeight="1">
      <c r="A202" s="738" t="s">
        <v>691</v>
      </c>
      <c r="B202" s="738" t="s">
        <v>699</v>
      </c>
      <c r="C202" s="193"/>
    </row>
    <row r="203" spans="1:3" ht="15.75" customHeight="1">
      <c r="A203" s="738" t="s">
        <v>692</v>
      </c>
      <c r="B203" s="738" t="s">
        <v>700</v>
      </c>
      <c r="C203" s="193"/>
    </row>
    <row r="204" spans="1:3" ht="15.75" customHeight="1">
      <c r="A204" s="738" t="s">
        <v>693</v>
      </c>
      <c r="B204" s="738" t="s">
        <v>701</v>
      </c>
      <c r="C204" s="193"/>
    </row>
    <row r="205" spans="1:3" ht="15.75" customHeight="1">
      <c r="A205" s="738" t="s">
        <v>694</v>
      </c>
      <c r="B205" s="738" t="s">
        <v>702</v>
      </c>
      <c r="C205" s="193"/>
    </row>
    <row r="206" spans="1:3" ht="15.75" customHeight="1">
      <c r="A206" s="738" t="s">
        <v>695</v>
      </c>
      <c r="B206" s="738" t="s">
        <v>703</v>
      </c>
      <c r="C206" s="193"/>
    </row>
    <row r="207" spans="1:3" ht="15.75" customHeight="1">
      <c r="A207" s="183"/>
      <c r="B207" s="739"/>
      <c r="C207" s="193"/>
    </row>
    <row r="208" spans="1:3" ht="15.75" customHeight="1">
      <c r="A208" s="181" t="s">
        <v>262</v>
      </c>
      <c r="B208" s="181" t="s">
        <v>263</v>
      </c>
      <c r="C208" s="193">
        <f>SUM(C209:C216)</f>
        <v>0</v>
      </c>
    </row>
    <row r="209" spans="1:3" ht="15.75" customHeight="1">
      <c r="A209" s="738" t="s">
        <v>704</v>
      </c>
      <c r="B209" s="738" t="s">
        <v>712</v>
      </c>
      <c r="C209" s="193"/>
    </row>
    <row r="210" spans="1:3" ht="15.75" customHeight="1">
      <c r="A210" s="738" t="s">
        <v>705</v>
      </c>
      <c r="B210" s="738" t="s">
        <v>713</v>
      </c>
      <c r="C210" s="193"/>
    </row>
    <row r="211" spans="1:3" ht="15.75" customHeight="1">
      <c r="A211" s="738" t="s">
        <v>706</v>
      </c>
      <c r="B211" s="738" t="s">
        <v>714</v>
      </c>
      <c r="C211" s="193"/>
    </row>
    <row r="212" spans="1:3" ht="15.75" customHeight="1">
      <c r="A212" s="738" t="s">
        <v>707</v>
      </c>
      <c r="B212" s="738" t="s">
        <v>715</v>
      </c>
      <c r="C212" s="193"/>
    </row>
    <row r="213" spans="1:3" ht="15.75" customHeight="1">
      <c r="A213" s="738" t="s">
        <v>708</v>
      </c>
      <c r="B213" s="738" t="s">
        <v>716</v>
      </c>
      <c r="C213" s="193"/>
    </row>
    <row r="214" spans="1:3" ht="15.75" customHeight="1">
      <c r="A214" s="738" t="s">
        <v>709</v>
      </c>
      <c r="B214" s="738" t="s">
        <v>717</v>
      </c>
      <c r="C214" s="193"/>
    </row>
    <row r="215" spans="1:3" ht="15.75" customHeight="1">
      <c r="A215" s="738" t="s">
        <v>710</v>
      </c>
      <c r="B215" s="738" t="s">
        <v>718</v>
      </c>
      <c r="C215" s="193"/>
    </row>
    <row r="216" spans="1:3" ht="15.75" customHeight="1">
      <c r="A216" s="738" t="s">
        <v>711</v>
      </c>
      <c r="B216" s="738" t="s">
        <v>719</v>
      </c>
      <c r="C216" s="193"/>
    </row>
    <row r="217" spans="1:3" ht="15.75" customHeight="1">
      <c r="A217" s="183"/>
      <c r="B217" s="739"/>
      <c r="C217" s="193"/>
    </row>
    <row r="218" spans="1:3" ht="15.75" customHeight="1">
      <c r="A218" s="181" t="s">
        <v>264</v>
      </c>
      <c r="B218" s="181" t="s">
        <v>265</v>
      </c>
      <c r="C218" s="193">
        <f>SUM(C219:C220)</f>
        <v>0</v>
      </c>
    </row>
    <row r="219" spans="1:3" ht="15.75" customHeight="1">
      <c r="A219" s="738" t="s">
        <v>720</v>
      </c>
      <c r="B219" s="738" t="s">
        <v>722</v>
      </c>
      <c r="C219" s="193"/>
    </row>
    <row r="220" spans="1:3" ht="15.75" customHeight="1">
      <c r="A220" s="738" t="s">
        <v>721</v>
      </c>
      <c r="B220" s="738" t="s">
        <v>723</v>
      </c>
      <c r="C220" s="193"/>
    </row>
    <row r="221" spans="1:3" ht="15.75" customHeight="1">
      <c r="A221" s="183"/>
      <c r="B221" s="739"/>
      <c r="C221" s="193"/>
    </row>
    <row r="222" spans="1:3" ht="15.75" customHeight="1">
      <c r="A222" s="181">
        <v>5</v>
      </c>
      <c r="B222" s="181" t="s">
        <v>724</v>
      </c>
      <c r="C222" s="193">
        <f>+C223+C233+C243+C248</f>
        <v>59000000</v>
      </c>
    </row>
    <row r="223" spans="1:3" ht="15.75" customHeight="1">
      <c r="A223" s="181" t="s">
        <v>266</v>
      </c>
      <c r="B223" s="181" t="s">
        <v>267</v>
      </c>
      <c r="C223" s="193">
        <f>SUM(C224:C231)</f>
        <v>8000000</v>
      </c>
    </row>
    <row r="224" spans="1:3" ht="15.75" customHeight="1">
      <c r="A224" s="738" t="s">
        <v>725</v>
      </c>
      <c r="B224" s="738" t="s">
        <v>733</v>
      </c>
      <c r="C224" s="193"/>
    </row>
    <row r="225" spans="1:5" ht="15.75" customHeight="1">
      <c r="A225" s="738" t="s">
        <v>726</v>
      </c>
      <c r="B225" s="738" t="s">
        <v>734</v>
      </c>
      <c r="C225" s="193">
        <v>3500000</v>
      </c>
      <c r="D225" s="116"/>
    </row>
    <row r="226" spans="1:5" ht="15.75" customHeight="1">
      <c r="A226" s="738" t="s">
        <v>727</v>
      </c>
      <c r="B226" s="738" t="s">
        <v>735</v>
      </c>
      <c r="C226" s="193">
        <v>0</v>
      </c>
    </row>
    <row r="227" spans="1:5" ht="15.75" customHeight="1">
      <c r="A227" s="738" t="s">
        <v>728</v>
      </c>
      <c r="B227" s="738" t="s">
        <v>736</v>
      </c>
      <c r="C227" s="193">
        <v>2000000</v>
      </c>
    </row>
    <row r="228" spans="1:5" ht="15.75" customHeight="1">
      <c r="A228" s="738" t="s">
        <v>729</v>
      </c>
      <c r="B228" s="738" t="s">
        <v>737</v>
      </c>
      <c r="C228" s="193">
        <v>2500000</v>
      </c>
    </row>
    <row r="229" spans="1:5" ht="15.75" customHeight="1">
      <c r="A229" s="738" t="s">
        <v>730</v>
      </c>
      <c r="B229" s="738" t="s">
        <v>738</v>
      </c>
      <c r="C229" s="193"/>
    </row>
    <row r="230" spans="1:5" ht="15.75" customHeight="1">
      <c r="A230" s="738" t="s">
        <v>731</v>
      </c>
      <c r="B230" s="738" t="s">
        <v>739</v>
      </c>
      <c r="C230" s="193"/>
    </row>
    <row r="231" spans="1:5" ht="15.75" customHeight="1">
      <c r="A231" s="738" t="s">
        <v>732</v>
      </c>
      <c r="B231" s="738" t="s">
        <v>740</v>
      </c>
      <c r="C231" s="193">
        <v>0</v>
      </c>
    </row>
    <row r="232" spans="1:5" ht="15.75" customHeight="1">
      <c r="A232" s="315"/>
      <c r="B232" s="744"/>
      <c r="C232" s="309"/>
      <c r="E232" s="190"/>
    </row>
    <row r="233" spans="1:5" ht="15.75" customHeight="1">
      <c r="A233" s="189" t="s">
        <v>268</v>
      </c>
      <c r="B233" s="189" t="s">
        <v>269</v>
      </c>
      <c r="C233" s="205">
        <f>SUM(C234:C241)</f>
        <v>48000000</v>
      </c>
      <c r="E233" s="190"/>
    </row>
    <row r="234" spans="1:5" ht="15.75" customHeight="1">
      <c r="A234" s="738" t="s">
        <v>741</v>
      </c>
      <c r="B234" s="738" t="s">
        <v>749</v>
      </c>
      <c r="C234" s="193">
        <v>0</v>
      </c>
      <c r="E234" s="190"/>
    </row>
    <row r="235" spans="1:5" ht="15.75" customHeight="1">
      <c r="A235" s="738" t="s">
        <v>742</v>
      </c>
      <c r="B235" s="738" t="s">
        <v>750</v>
      </c>
      <c r="C235" s="812">
        <v>48000000</v>
      </c>
      <c r="D235" s="213"/>
      <c r="E235" s="190"/>
    </row>
    <row r="236" spans="1:5" ht="15.75" customHeight="1">
      <c r="A236" s="738" t="s">
        <v>743</v>
      </c>
      <c r="B236" s="738" t="s">
        <v>751</v>
      </c>
      <c r="C236" s="193"/>
      <c r="D236" s="213"/>
      <c r="E236" s="190"/>
    </row>
    <row r="237" spans="1:5" ht="15.75" customHeight="1">
      <c r="A237" s="738" t="s">
        <v>744</v>
      </c>
      <c r="B237" s="738" t="s">
        <v>752</v>
      </c>
      <c r="C237" s="193"/>
      <c r="E237" s="190"/>
    </row>
    <row r="238" spans="1:5" ht="15.75" customHeight="1">
      <c r="A238" s="738" t="s">
        <v>745</v>
      </c>
      <c r="B238" s="738" t="s">
        <v>753</v>
      </c>
      <c r="C238" s="193"/>
      <c r="E238" s="190"/>
    </row>
    <row r="239" spans="1:5" ht="15.75" customHeight="1">
      <c r="A239" s="738" t="s">
        <v>746</v>
      </c>
      <c r="B239" s="738" t="s">
        <v>754</v>
      </c>
      <c r="C239" s="193"/>
      <c r="E239" s="190"/>
    </row>
    <row r="240" spans="1:5" ht="15.75" customHeight="1">
      <c r="A240" s="738" t="s">
        <v>747</v>
      </c>
      <c r="B240" s="738" t="s">
        <v>755</v>
      </c>
      <c r="C240" s="193"/>
    </row>
    <row r="241" spans="1:3" ht="15.75" customHeight="1">
      <c r="A241" s="738" t="s">
        <v>748</v>
      </c>
      <c r="B241" s="738" t="s">
        <v>756</v>
      </c>
      <c r="C241" s="193"/>
    </row>
    <row r="242" spans="1:3" ht="15.75" customHeight="1">
      <c r="A242" s="183"/>
      <c r="B242" s="739"/>
      <c r="C242" s="193">
        <v>0</v>
      </c>
    </row>
    <row r="243" spans="1:3" ht="15.75" customHeight="1">
      <c r="A243" s="181" t="s">
        <v>270</v>
      </c>
      <c r="B243" s="181" t="s">
        <v>271</v>
      </c>
      <c r="C243" s="193">
        <f>SUM(C244:C246)</f>
        <v>0</v>
      </c>
    </row>
    <row r="244" spans="1:3" ht="15.75" customHeight="1">
      <c r="A244" s="738" t="s">
        <v>757</v>
      </c>
      <c r="B244" s="738" t="s">
        <v>760</v>
      </c>
      <c r="C244" s="193"/>
    </row>
    <row r="245" spans="1:3" ht="15.75" customHeight="1">
      <c r="A245" s="738" t="s">
        <v>758</v>
      </c>
      <c r="B245" s="738" t="s">
        <v>761</v>
      </c>
      <c r="C245" s="193"/>
    </row>
    <row r="246" spans="1:3" ht="15.75" customHeight="1">
      <c r="A246" s="738" t="s">
        <v>759</v>
      </c>
      <c r="B246" s="738" t="s">
        <v>762</v>
      </c>
      <c r="C246" s="193"/>
    </row>
    <row r="247" spans="1:3" ht="15.75" customHeight="1">
      <c r="A247" s="183"/>
      <c r="B247" s="739"/>
      <c r="C247" s="193"/>
    </row>
    <row r="248" spans="1:3" ht="15.75" customHeight="1">
      <c r="A248" s="181" t="s">
        <v>272</v>
      </c>
      <c r="B248" s="181" t="s">
        <v>273</v>
      </c>
      <c r="C248" s="193">
        <f>SUM(C249:C252)</f>
        <v>3000000</v>
      </c>
    </row>
    <row r="249" spans="1:3" ht="15.75" customHeight="1">
      <c r="A249" s="738" t="s">
        <v>763</v>
      </c>
      <c r="B249" s="738" t="s">
        <v>767</v>
      </c>
      <c r="C249" s="193"/>
    </row>
    <row r="250" spans="1:3" ht="15.75" customHeight="1">
      <c r="A250" s="738" t="s">
        <v>764</v>
      </c>
      <c r="B250" s="738" t="s">
        <v>768</v>
      </c>
      <c r="C250" s="193"/>
    </row>
    <row r="251" spans="1:3" ht="15.75" customHeight="1">
      <c r="A251" s="738" t="s">
        <v>765</v>
      </c>
      <c r="B251" s="738" t="s">
        <v>769</v>
      </c>
      <c r="C251" s="193">
        <v>3000000</v>
      </c>
    </row>
    <row r="252" spans="1:3" ht="15.75" customHeight="1">
      <c r="A252" s="738" t="s">
        <v>766</v>
      </c>
      <c r="B252" s="738" t="s">
        <v>770</v>
      </c>
      <c r="C252" s="193"/>
    </row>
    <row r="253" spans="1:3" ht="15.75" customHeight="1">
      <c r="A253" s="183"/>
      <c r="B253" s="739"/>
      <c r="C253" s="193"/>
    </row>
    <row r="254" spans="1:3" ht="15.75" customHeight="1">
      <c r="A254" s="181">
        <v>6</v>
      </c>
      <c r="B254" s="181" t="s">
        <v>771</v>
      </c>
      <c r="C254" s="193">
        <f>+C255+C266+C272+C280+C286+C289+C293</f>
        <v>8100000</v>
      </c>
    </row>
    <row r="255" spans="1:3" ht="15.75" customHeight="1">
      <c r="A255" s="181" t="s">
        <v>274</v>
      </c>
      <c r="B255" s="181" t="s">
        <v>275</v>
      </c>
      <c r="C255" s="193">
        <f>SUM(C256:C264)</f>
        <v>0</v>
      </c>
    </row>
    <row r="256" spans="1:3" ht="15.75" customHeight="1">
      <c r="A256" s="738" t="s">
        <v>815</v>
      </c>
      <c r="B256" s="738" t="s">
        <v>824</v>
      </c>
      <c r="C256" s="193"/>
    </row>
    <row r="257" spans="1:3" ht="15.75" customHeight="1">
      <c r="A257" s="738" t="s">
        <v>816</v>
      </c>
      <c r="B257" s="738" t="s">
        <v>825</v>
      </c>
      <c r="C257" s="193"/>
    </row>
    <row r="258" spans="1:3" ht="15.75" customHeight="1">
      <c r="A258" s="738" t="s">
        <v>817</v>
      </c>
      <c r="B258" s="738" t="s">
        <v>826</v>
      </c>
      <c r="C258" s="193"/>
    </row>
    <row r="259" spans="1:3" ht="15.75" customHeight="1">
      <c r="A259" s="738" t="s">
        <v>818</v>
      </c>
      <c r="B259" s="738" t="s">
        <v>827</v>
      </c>
      <c r="C259" s="193"/>
    </row>
    <row r="260" spans="1:3" ht="15.75" customHeight="1">
      <c r="A260" s="738" t="s">
        <v>819</v>
      </c>
      <c r="B260" s="738" t="s">
        <v>828</v>
      </c>
      <c r="C260" s="193"/>
    </row>
    <row r="261" spans="1:3" ht="15.75" customHeight="1">
      <c r="A261" s="738" t="s">
        <v>820</v>
      </c>
      <c r="B261" s="738" t="s">
        <v>829</v>
      </c>
      <c r="C261" s="193"/>
    </row>
    <row r="262" spans="1:3" ht="15.75" customHeight="1">
      <c r="A262" s="738" t="s">
        <v>821</v>
      </c>
      <c r="B262" s="738" t="s">
        <v>830</v>
      </c>
      <c r="C262" s="193"/>
    </row>
    <row r="263" spans="1:3" ht="15.75" customHeight="1">
      <c r="A263" s="738" t="s">
        <v>822</v>
      </c>
      <c r="B263" s="738" t="s">
        <v>831</v>
      </c>
      <c r="C263" s="193"/>
    </row>
    <row r="264" spans="1:3" ht="15.75" customHeight="1">
      <c r="A264" s="738" t="s">
        <v>823</v>
      </c>
      <c r="B264" s="738" t="s">
        <v>832</v>
      </c>
      <c r="C264" s="193"/>
    </row>
    <row r="265" spans="1:3" ht="15.75" customHeight="1">
      <c r="A265" s="183"/>
      <c r="B265" s="739"/>
      <c r="C265" s="193"/>
    </row>
    <row r="266" spans="1:3" ht="15.75" customHeight="1">
      <c r="A266" s="181" t="s">
        <v>276</v>
      </c>
      <c r="B266" s="181" t="s">
        <v>277</v>
      </c>
      <c r="C266" s="193">
        <f>SUM(C267:C270)</f>
        <v>100000</v>
      </c>
    </row>
    <row r="267" spans="1:3" ht="15.75" customHeight="1">
      <c r="A267" s="738" t="s">
        <v>772</v>
      </c>
      <c r="B267" s="738" t="s">
        <v>776</v>
      </c>
      <c r="C267" s="193"/>
    </row>
    <row r="268" spans="1:3" ht="15.75" customHeight="1">
      <c r="A268" s="738" t="s">
        <v>773</v>
      </c>
      <c r="B268" s="738" t="s">
        <v>777</v>
      </c>
      <c r="C268" s="193"/>
    </row>
    <row r="269" spans="1:3" ht="15.75" customHeight="1">
      <c r="A269" s="738" t="s">
        <v>774</v>
      </c>
      <c r="B269" s="738" t="s">
        <v>778</v>
      </c>
      <c r="C269" s="193">
        <v>100000</v>
      </c>
    </row>
    <row r="270" spans="1:3" ht="15.75" customHeight="1">
      <c r="A270" s="738" t="s">
        <v>775</v>
      </c>
      <c r="B270" s="738" t="s">
        <v>779</v>
      </c>
      <c r="C270" s="193">
        <v>0</v>
      </c>
    </row>
    <row r="271" spans="1:3" ht="15.75" customHeight="1">
      <c r="A271" s="183"/>
      <c r="B271" s="739"/>
      <c r="C271" s="193"/>
    </row>
    <row r="272" spans="1:3" ht="15.75" customHeight="1">
      <c r="A272" s="181" t="s">
        <v>278</v>
      </c>
      <c r="B272" s="181" t="s">
        <v>279</v>
      </c>
      <c r="C272" s="193">
        <f>SUM(C273:C278)</f>
        <v>8000000</v>
      </c>
    </row>
    <row r="273" spans="1:3" ht="15.75" customHeight="1">
      <c r="A273" s="738" t="s">
        <v>780</v>
      </c>
      <c r="B273" s="738" t="s">
        <v>786</v>
      </c>
      <c r="C273" s="711">
        <v>8000000</v>
      </c>
    </row>
    <row r="274" spans="1:3" ht="15.75" customHeight="1">
      <c r="A274" s="738" t="s">
        <v>781</v>
      </c>
      <c r="B274" s="738" t="s">
        <v>787</v>
      </c>
      <c r="C274" s="193"/>
    </row>
    <row r="275" spans="1:3" ht="15.75" customHeight="1">
      <c r="A275" s="738" t="s">
        <v>782</v>
      </c>
      <c r="B275" s="738" t="s">
        <v>788</v>
      </c>
      <c r="C275" s="193"/>
    </row>
    <row r="276" spans="1:3" ht="15.75" customHeight="1">
      <c r="A276" s="738" t="s">
        <v>783</v>
      </c>
      <c r="B276" s="738" t="s">
        <v>789</v>
      </c>
      <c r="C276" s="193"/>
    </row>
    <row r="277" spans="1:3" ht="25.5" customHeight="1">
      <c r="A277" s="738" t="s">
        <v>784</v>
      </c>
      <c r="B277" s="738" t="s">
        <v>791</v>
      </c>
      <c r="C277" s="193"/>
    </row>
    <row r="278" spans="1:3" ht="15.75" customHeight="1">
      <c r="A278" s="741" t="s">
        <v>785</v>
      </c>
      <c r="B278" s="741" t="s">
        <v>792</v>
      </c>
      <c r="C278" s="285"/>
    </row>
    <row r="279" spans="1:3" ht="15.75" customHeight="1">
      <c r="A279" s="310"/>
      <c r="B279" s="744"/>
      <c r="C279" s="309"/>
    </row>
    <row r="280" spans="1:3" ht="15.75" customHeight="1">
      <c r="A280" s="189" t="s">
        <v>793</v>
      </c>
      <c r="B280" s="189" t="s">
        <v>794</v>
      </c>
      <c r="C280" s="205">
        <f>SUM(C281:C284)</f>
        <v>0</v>
      </c>
    </row>
    <row r="281" spans="1:3" ht="15.75" customHeight="1">
      <c r="A281" s="738" t="s">
        <v>795</v>
      </c>
      <c r="B281" s="738" t="s">
        <v>799</v>
      </c>
      <c r="C281" s="193"/>
    </row>
    <row r="282" spans="1:3" ht="15.75" customHeight="1">
      <c r="A282" s="738" t="s">
        <v>796</v>
      </c>
      <c r="B282" s="738" t="s">
        <v>800</v>
      </c>
      <c r="C282" s="193"/>
    </row>
    <row r="283" spans="1:3" ht="15.75" customHeight="1">
      <c r="A283" s="738" t="s">
        <v>797</v>
      </c>
      <c r="B283" s="738" t="s">
        <v>801</v>
      </c>
      <c r="C283" s="193"/>
    </row>
    <row r="284" spans="1:3" ht="15.75" customHeight="1">
      <c r="A284" s="738" t="s">
        <v>798</v>
      </c>
      <c r="B284" s="738" t="s">
        <v>802</v>
      </c>
      <c r="C284" s="193"/>
    </row>
    <row r="285" spans="1:3" ht="15.75" customHeight="1">
      <c r="A285" s="738"/>
      <c r="B285" s="738"/>
      <c r="C285" s="193"/>
    </row>
    <row r="286" spans="1:3" ht="15.75" customHeight="1">
      <c r="A286" s="181" t="s">
        <v>803</v>
      </c>
      <c r="B286" s="181" t="s">
        <v>804</v>
      </c>
      <c r="C286" s="193">
        <f>SUM(C287)</f>
        <v>0</v>
      </c>
    </row>
    <row r="287" spans="1:3" ht="15.75" customHeight="1">
      <c r="A287" s="738" t="s">
        <v>806</v>
      </c>
      <c r="B287" s="738" t="s">
        <v>805</v>
      </c>
      <c r="C287" s="193"/>
    </row>
    <row r="288" spans="1:3" ht="15.75" customHeight="1">
      <c r="A288" s="183"/>
      <c r="B288" s="739"/>
      <c r="C288" s="193"/>
    </row>
    <row r="289" spans="1:3" ht="15.75" customHeight="1">
      <c r="A289" s="181" t="s">
        <v>280</v>
      </c>
      <c r="B289" s="181" t="s">
        <v>281</v>
      </c>
      <c r="C289" s="193">
        <f>SUM(C290:C291)</f>
        <v>0</v>
      </c>
    </row>
    <row r="290" spans="1:3" ht="28.5" customHeight="1">
      <c r="A290" s="738" t="s">
        <v>807</v>
      </c>
      <c r="B290" s="738" t="s">
        <v>809</v>
      </c>
      <c r="C290" s="711">
        <v>0</v>
      </c>
    </row>
    <row r="291" spans="1:3" ht="15.75" customHeight="1">
      <c r="A291" s="738" t="s">
        <v>808</v>
      </c>
      <c r="B291" s="738" t="s">
        <v>810</v>
      </c>
      <c r="C291" s="193"/>
    </row>
    <row r="292" spans="1:3" ht="15.75" customHeight="1">
      <c r="A292" s="183"/>
      <c r="B292" s="739"/>
      <c r="C292" s="193"/>
    </row>
    <row r="293" spans="1:3" ht="15.75" customHeight="1">
      <c r="A293" s="189" t="s">
        <v>282</v>
      </c>
      <c r="B293" s="189" t="s">
        <v>283</v>
      </c>
      <c r="C293" s="205">
        <f>SUM(C294:C295)</f>
        <v>0</v>
      </c>
    </row>
    <row r="294" spans="1:3" ht="15.75" customHeight="1">
      <c r="A294" s="738" t="s">
        <v>811</v>
      </c>
      <c r="B294" s="738" t="s">
        <v>813</v>
      </c>
      <c r="C294" s="193"/>
    </row>
    <row r="295" spans="1:3" ht="15.75" customHeight="1">
      <c r="A295" s="738" t="s">
        <v>812</v>
      </c>
      <c r="B295" s="738" t="s">
        <v>814</v>
      </c>
      <c r="C295" s="193"/>
    </row>
    <row r="296" spans="1:3" ht="15.75" customHeight="1">
      <c r="A296" s="183"/>
      <c r="B296" s="739"/>
      <c r="C296" s="193"/>
    </row>
    <row r="297" spans="1:3" ht="15.75" customHeight="1">
      <c r="A297" s="181">
        <v>7</v>
      </c>
      <c r="B297" s="181" t="s">
        <v>833</v>
      </c>
      <c r="C297" s="193">
        <f>+C298+C307+C310+C316+C319</f>
        <v>0</v>
      </c>
    </row>
    <row r="298" spans="1:3" ht="15.75" customHeight="1">
      <c r="A298" s="181" t="s">
        <v>284</v>
      </c>
      <c r="B298" s="181" t="s">
        <v>285</v>
      </c>
      <c r="C298" s="193">
        <f>SUM(C299:C305)</f>
        <v>0</v>
      </c>
    </row>
    <row r="299" spans="1:3" ht="15.75" customHeight="1">
      <c r="A299" s="738" t="s">
        <v>834</v>
      </c>
      <c r="B299" s="738" t="s">
        <v>840</v>
      </c>
      <c r="C299" s="193"/>
    </row>
    <row r="300" spans="1:3" ht="15.75" customHeight="1">
      <c r="A300" s="738" t="s">
        <v>835</v>
      </c>
      <c r="B300" s="738" t="s">
        <v>841</v>
      </c>
      <c r="C300" s="193"/>
    </row>
    <row r="301" spans="1:3" ht="15.75" customHeight="1">
      <c r="A301" s="738" t="s">
        <v>836</v>
      </c>
      <c r="B301" s="738" t="s">
        <v>842</v>
      </c>
      <c r="C301" s="193"/>
    </row>
    <row r="302" spans="1:3" ht="15.75" customHeight="1">
      <c r="A302" s="738" t="s">
        <v>837</v>
      </c>
      <c r="B302" s="738" t="s">
        <v>843</v>
      </c>
      <c r="C302" s="193"/>
    </row>
    <row r="303" spans="1:3" ht="15.75" customHeight="1">
      <c r="A303" s="738"/>
      <c r="B303" s="738" t="s">
        <v>844</v>
      </c>
      <c r="C303" s="193"/>
    </row>
    <row r="304" spans="1:3" ht="15.75" customHeight="1">
      <c r="A304" s="738" t="s">
        <v>838</v>
      </c>
      <c r="B304" s="738" t="s">
        <v>845</v>
      </c>
      <c r="C304" s="193"/>
    </row>
    <row r="305" spans="1:3" ht="15.75" customHeight="1">
      <c r="A305" s="738" t="s">
        <v>839</v>
      </c>
      <c r="B305" s="738" t="s">
        <v>846</v>
      </c>
      <c r="C305" s="193"/>
    </row>
    <row r="306" spans="1:3" ht="15.75" customHeight="1">
      <c r="A306" s="183"/>
      <c r="B306" s="739"/>
      <c r="C306" s="193"/>
    </row>
    <row r="307" spans="1:3" ht="15.75" customHeight="1">
      <c r="A307" s="181" t="s">
        <v>847</v>
      </c>
      <c r="B307" s="181" t="s">
        <v>848</v>
      </c>
      <c r="C307" s="193">
        <f>SUM(C308)</f>
        <v>0</v>
      </c>
    </row>
    <row r="308" spans="1:3" ht="15.75" customHeight="1">
      <c r="A308" s="738" t="s">
        <v>850</v>
      </c>
      <c r="B308" s="738" t="s">
        <v>849</v>
      </c>
      <c r="C308" s="193"/>
    </row>
    <row r="309" spans="1:3" ht="15.75" customHeight="1">
      <c r="A309" s="183"/>
      <c r="B309" s="739"/>
      <c r="C309" s="193"/>
    </row>
    <row r="310" spans="1:3" ht="15.75" customHeight="1">
      <c r="A310" s="181" t="s">
        <v>178</v>
      </c>
      <c r="B310" s="181" t="s">
        <v>851</v>
      </c>
      <c r="C310" s="193">
        <f>SUM(C311:C314)</f>
        <v>0</v>
      </c>
    </row>
    <row r="311" spans="1:3" ht="15.75" customHeight="1">
      <c r="A311" s="738" t="s">
        <v>852</v>
      </c>
      <c r="B311" s="738" t="s">
        <v>856</v>
      </c>
      <c r="C311" s="193"/>
    </row>
    <row r="312" spans="1:3" ht="15.75" customHeight="1">
      <c r="A312" s="738" t="s">
        <v>853</v>
      </c>
      <c r="B312" s="738" t="s">
        <v>857</v>
      </c>
      <c r="C312" s="193"/>
    </row>
    <row r="313" spans="1:3" ht="15.75" customHeight="1">
      <c r="A313" s="738" t="s">
        <v>854</v>
      </c>
      <c r="B313" s="738" t="s">
        <v>858</v>
      </c>
      <c r="C313" s="193"/>
    </row>
    <row r="314" spans="1:3" ht="15.75" customHeight="1">
      <c r="A314" s="738" t="s">
        <v>855</v>
      </c>
      <c r="B314" s="738" t="s">
        <v>859</v>
      </c>
      <c r="C314" s="193"/>
    </row>
    <row r="315" spans="1:3" ht="15.75" customHeight="1">
      <c r="A315" s="183"/>
      <c r="B315" s="739"/>
      <c r="C315" s="193"/>
    </row>
    <row r="316" spans="1:3" ht="15.75" customHeight="1">
      <c r="A316" s="181" t="s">
        <v>860</v>
      </c>
      <c r="B316" s="181" t="s">
        <v>861</v>
      </c>
      <c r="C316" s="193">
        <f>+C317</f>
        <v>0</v>
      </c>
    </row>
    <row r="317" spans="1:3" ht="15.75" customHeight="1">
      <c r="A317" s="738" t="s">
        <v>863</v>
      </c>
      <c r="B317" s="738" t="s">
        <v>862</v>
      </c>
      <c r="C317" s="193"/>
    </row>
    <row r="318" spans="1:3" ht="15.75" customHeight="1">
      <c r="A318" s="183"/>
      <c r="B318" s="739"/>
      <c r="C318" s="193"/>
    </row>
    <row r="319" spans="1:3" ht="15.75" customHeight="1">
      <c r="A319" s="181" t="s">
        <v>286</v>
      </c>
      <c r="B319" s="181" t="s">
        <v>287</v>
      </c>
      <c r="C319" s="193">
        <f>SUM(C320:C321)</f>
        <v>0</v>
      </c>
    </row>
    <row r="320" spans="1:3" ht="15.75" customHeight="1">
      <c r="A320" s="738" t="s">
        <v>864</v>
      </c>
      <c r="B320" s="738" t="s">
        <v>866</v>
      </c>
      <c r="C320" s="193"/>
    </row>
    <row r="321" spans="1:3" ht="15.75" customHeight="1">
      <c r="A321" s="738" t="s">
        <v>865</v>
      </c>
      <c r="B321" s="738" t="s">
        <v>867</v>
      </c>
      <c r="C321" s="193"/>
    </row>
    <row r="322" spans="1:3" ht="15.75" customHeight="1">
      <c r="A322" s="742"/>
      <c r="B322" s="742"/>
      <c r="C322" s="309"/>
    </row>
    <row r="323" spans="1:3" ht="15.75" customHeight="1">
      <c r="A323" s="189">
        <v>8</v>
      </c>
      <c r="B323" s="189" t="s">
        <v>868</v>
      </c>
      <c r="C323" s="205">
        <f>+C324+C330</f>
        <v>94201402.430000007</v>
      </c>
    </row>
    <row r="324" spans="1:3" ht="15.75" customHeight="1">
      <c r="A324" s="181" t="s">
        <v>288</v>
      </c>
      <c r="B324" s="181" t="s">
        <v>289</v>
      </c>
      <c r="C324" s="193">
        <f>SUM(C325:C328)</f>
        <v>0</v>
      </c>
    </row>
    <row r="325" spans="1:3" ht="15.75" customHeight="1">
      <c r="A325" s="738" t="s">
        <v>869</v>
      </c>
      <c r="B325" s="738" t="s">
        <v>873</v>
      </c>
      <c r="C325" s="193"/>
    </row>
    <row r="326" spans="1:3" ht="15.75" customHeight="1">
      <c r="A326" s="738" t="s">
        <v>870</v>
      </c>
      <c r="B326" s="738" t="s">
        <v>874</v>
      </c>
      <c r="C326" s="193"/>
    </row>
    <row r="327" spans="1:3" ht="15.75" customHeight="1">
      <c r="A327" s="738" t="s">
        <v>871</v>
      </c>
      <c r="B327" s="738" t="s">
        <v>875</v>
      </c>
      <c r="C327" s="193"/>
    </row>
    <row r="328" spans="1:3" ht="15.75" customHeight="1">
      <c r="A328" s="738" t="s">
        <v>872</v>
      </c>
      <c r="B328" s="738" t="s">
        <v>876</v>
      </c>
      <c r="C328" s="193"/>
    </row>
    <row r="329" spans="1:3" ht="15.75" customHeight="1">
      <c r="A329" s="183"/>
      <c r="B329" s="739"/>
      <c r="C329" s="193"/>
    </row>
    <row r="330" spans="1:3" ht="15.75" customHeight="1">
      <c r="A330" s="181" t="s">
        <v>290</v>
      </c>
      <c r="B330" s="181" t="s">
        <v>291</v>
      </c>
      <c r="C330" s="193">
        <f>SUM(C331:C338)</f>
        <v>94201402.430000007</v>
      </c>
    </row>
    <row r="331" spans="1:3" ht="15.75" customHeight="1">
      <c r="A331" s="738" t="s">
        <v>877</v>
      </c>
      <c r="B331" s="738" t="s">
        <v>885</v>
      </c>
      <c r="C331" s="193"/>
    </row>
    <row r="332" spans="1:3" ht="15.75" customHeight="1">
      <c r="A332" s="738" t="s">
        <v>878</v>
      </c>
      <c r="B332" s="738" t="s">
        <v>886</v>
      </c>
      <c r="C332" s="193"/>
    </row>
    <row r="333" spans="1:3" ht="15.75" customHeight="1">
      <c r="A333" s="738" t="s">
        <v>879</v>
      </c>
      <c r="B333" s="738" t="s">
        <v>887</v>
      </c>
      <c r="C333" s="193"/>
    </row>
    <row r="334" spans="1:3" ht="15.75" customHeight="1">
      <c r="A334" s="738" t="s">
        <v>880</v>
      </c>
      <c r="B334" s="738" t="s">
        <v>888</v>
      </c>
      <c r="C334" s="193"/>
    </row>
    <row r="335" spans="1:3" ht="15.75" customHeight="1">
      <c r="A335" s="738" t="s">
        <v>881</v>
      </c>
      <c r="B335" s="738" t="s">
        <v>892</v>
      </c>
      <c r="C335" s="193"/>
    </row>
    <row r="336" spans="1:3" ht="15.75" customHeight="1">
      <c r="A336" s="738" t="s">
        <v>882</v>
      </c>
      <c r="B336" s="738" t="s">
        <v>889</v>
      </c>
      <c r="C336" s="193">
        <v>94201402.430000007</v>
      </c>
    </row>
    <row r="337" spans="1:3" ht="15.75" customHeight="1">
      <c r="A337" s="738" t="s">
        <v>883</v>
      </c>
      <c r="B337" s="738" t="s">
        <v>890</v>
      </c>
      <c r="C337" s="193"/>
    </row>
    <row r="338" spans="1:3" ht="15.75" customHeight="1">
      <c r="A338" s="738" t="s">
        <v>884</v>
      </c>
      <c r="B338" s="738" t="s">
        <v>891</v>
      </c>
      <c r="C338" s="193"/>
    </row>
    <row r="339" spans="1:3" ht="15.75" customHeight="1">
      <c r="A339" s="183"/>
      <c r="B339" s="739"/>
      <c r="C339" s="193"/>
    </row>
    <row r="340" spans="1:3" ht="15.75" customHeight="1">
      <c r="A340" s="181">
        <v>9</v>
      </c>
      <c r="B340" s="181" t="s">
        <v>893</v>
      </c>
      <c r="C340" s="193">
        <f>+C341+C344</f>
        <v>0</v>
      </c>
    </row>
    <row r="341" spans="1:3" ht="15.75" customHeight="1">
      <c r="A341" s="181" t="s">
        <v>292</v>
      </c>
      <c r="B341" s="181" t="s">
        <v>293</v>
      </c>
      <c r="C341" s="193"/>
    </row>
    <row r="342" spans="1:3" ht="15.75" customHeight="1">
      <c r="A342" s="738" t="s">
        <v>894</v>
      </c>
      <c r="B342" s="738" t="s">
        <v>897</v>
      </c>
      <c r="C342" s="193"/>
    </row>
    <row r="343" spans="1:3" ht="15.75" customHeight="1">
      <c r="A343" s="183"/>
      <c r="B343" s="739"/>
      <c r="C343" s="193"/>
    </row>
    <row r="344" spans="1:3" ht="15.75" customHeight="1">
      <c r="A344" s="181" t="s">
        <v>294</v>
      </c>
      <c r="B344" s="181" t="s">
        <v>295</v>
      </c>
      <c r="C344" s="193">
        <f>+C345+C346</f>
        <v>0</v>
      </c>
    </row>
    <row r="345" spans="1:3" ht="15.75" customHeight="1">
      <c r="A345" s="738" t="s">
        <v>900</v>
      </c>
      <c r="B345" s="738" t="s">
        <v>898</v>
      </c>
      <c r="C345" s="193"/>
    </row>
    <row r="346" spans="1:3" ht="15.75" customHeight="1">
      <c r="A346" s="738" t="s">
        <v>901</v>
      </c>
      <c r="B346" s="738" t="s">
        <v>899</v>
      </c>
      <c r="C346" s="193">
        <v>0</v>
      </c>
    </row>
    <row r="347" spans="1:3" ht="15.75" customHeight="1">
      <c r="A347" s="116"/>
      <c r="B347" s="116"/>
      <c r="C347" s="120"/>
    </row>
    <row r="348" spans="1:3" ht="15.75" customHeight="1">
      <c r="A348" s="116"/>
      <c r="B348" s="116"/>
      <c r="C348" s="120">
        <f>+C235</f>
        <v>48000000</v>
      </c>
    </row>
    <row r="349" spans="1:3" ht="15.75" customHeight="1">
      <c r="A349" s="116"/>
      <c r="B349" s="116"/>
      <c r="C349" s="120"/>
    </row>
    <row r="350" spans="1:3" ht="15.75" customHeight="1">
      <c r="A350" s="116"/>
      <c r="B350" s="116"/>
      <c r="C350" s="120"/>
    </row>
  </sheetData>
  <mergeCells count="6">
    <mergeCell ref="A6:C6"/>
    <mergeCell ref="A1:C1"/>
    <mergeCell ref="A2:C2"/>
    <mergeCell ref="A4:C4"/>
    <mergeCell ref="A5:C5"/>
    <mergeCell ref="A3:C3"/>
  </mergeCells>
  <phoneticPr fontId="3" type="noConversion"/>
  <hyperlinks>
    <hyperlink ref="A11" location="_0.01_Remuneraciones_básicas" display="_0.01_Remuneraciones_básicas" xr:uid="{00000000-0004-0000-0500-000000000000}"/>
    <hyperlink ref="B11" location="_0.01_Remuneraciones_básicas" display="_0.01_Remuneraciones_básicas" xr:uid="{00000000-0004-0000-0500-000001000000}"/>
    <hyperlink ref="A12" location="_0.01.01_Sueldos_para_cargos fijos" display="_0.01.01_Sueldos_para_cargos fijos" xr:uid="{00000000-0004-0000-0500-000002000000}"/>
    <hyperlink ref="A13" location="_0.01.02_Jornales" display="_0.01.02_Jornales" xr:uid="{00000000-0004-0000-0500-000003000000}"/>
    <hyperlink ref="A14" location="_0.01.03___Servicios especiales" display="_0.01.03___Servicios especiales" xr:uid="{00000000-0004-0000-0500-000004000000}"/>
    <hyperlink ref="A15" location="_0.01.04___  Sueldos a base de comis" display="_0.01.04___  Sueldos a base de comis" xr:uid="{00000000-0004-0000-0500-000005000000}"/>
    <hyperlink ref="A16" location="_0.01.05_Suplencias" display="_0.01.05_Suplencias" xr:uid="{00000000-0004-0000-0500-000006000000}"/>
    <hyperlink ref="A18" location="OLE_LINK3" display="OLE_LINK3" xr:uid="{00000000-0004-0000-0500-000007000000}"/>
    <hyperlink ref="B18" location="OLE_LINK3" display="OLE_LINK3" xr:uid="{00000000-0004-0000-0500-000008000000}"/>
    <hyperlink ref="A19" location="_0.02.01_Tiempo_extraordinario" display="_0.02.01_Tiempo_extraordinario" xr:uid="{00000000-0004-0000-0500-000009000000}"/>
    <hyperlink ref="A20" location="_0.02.02_Recargo_de_funciones" display="_0.02.02_Recargo_de_funciones" xr:uid="{00000000-0004-0000-0500-00000A000000}"/>
    <hyperlink ref="A21" location="_0.02.03___  Disponibilidad laboral" display="_0.02.03___  Disponibilidad laboral" xr:uid="{00000000-0004-0000-0500-00000B000000}"/>
    <hyperlink ref="A22" location="_Hlt506206007" display="_Hlt506206007" xr:uid="{00000000-0004-0000-0500-00000C000000}"/>
    <hyperlink ref="A23" location="_0.01.05__" display="_0.01.05__" xr:uid="{00000000-0004-0000-0500-00000D000000}"/>
    <hyperlink ref="A25" location="OLE_LINK4" display="OLE_LINK4" xr:uid="{00000000-0004-0000-0500-00000E000000}"/>
    <hyperlink ref="B25" location="OLE_LINK4" display="OLE_LINK4" xr:uid="{00000000-0004-0000-0500-00000F000000}"/>
    <hyperlink ref="A26" location="_Hlt506206189" display="_Hlt506206189" xr:uid="{00000000-0004-0000-0500-000010000000}"/>
    <hyperlink ref="A27" location="_0.03.02_Restricción_al_ejercicio  l" display="_0.03.02_Restricción_al_ejercicio  l" xr:uid="{00000000-0004-0000-0500-000011000000}"/>
    <hyperlink ref="A28" location="_0.03.03___ Decimotercer mes" display="_0.03.03___ Decimotercer mes" xr:uid="{00000000-0004-0000-0500-000012000000}"/>
    <hyperlink ref="A29" location="_0.03.04___ Salario escolar" display="_0.03.04___ Salario escolar" xr:uid="{00000000-0004-0000-0500-000013000000}"/>
    <hyperlink ref="A30" location="_0.03.99__" display="_0.03.99__" xr:uid="{00000000-0004-0000-0500-000014000000}"/>
    <hyperlink ref="A32" location="OLE_LINK5" display="OLE_LINK5" xr:uid="{00000000-0004-0000-0500-000015000000}"/>
    <hyperlink ref="A33" location="_Contribución_Patronal_al" display="_Contribución_Patronal_al" xr:uid="{00000000-0004-0000-0500-000016000000}"/>
    <hyperlink ref="A34" location="_0.04.02__" display="_0.04.02__" xr:uid="{00000000-0004-0000-0500-000017000000}"/>
    <hyperlink ref="A35" location="_0.04.03___     Contribución Patrona" display="_0.04.03___     Contribución Patrona" xr:uid="{00000000-0004-0000-0500-000018000000}"/>
    <hyperlink ref="A36" location="_0.04.04___  Contribución Patronal a" display="_0.04.04___  Contribución Patronal a" xr:uid="{00000000-0004-0000-0500-000019000000}"/>
    <hyperlink ref="A37" location="_0.04.05___ Contribución Patronal al" display="_0.04.05___ Contribución Patronal al" xr:uid="{00000000-0004-0000-0500-00001A000000}"/>
    <hyperlink ref="A38" location="_0.04.05___ Contribución Patronal al" display="_0.04.05___ Contribución Patronal al" xr:uid="{00000000-0004-0000-0500-00001B000000}"/>
    <hyperlink ref="A39" location="OLE_LINK6" display="OLE_LINK6" xr:uid="{00000000-0004-0000-0500-00001C000000}"/>
    <hyperlink ref="A41" location="_0.05.01___Contribución Patronal al " display="_0.05.01___Contribución Patronal al " xr:uid="{00000000-0004-0000-0500-00001D000000}"/>
    <hyperlink ref="A42" location="_0.05.02__" display="_0.05.02__" xr:uid="{00000000-0004-0000-0500-00001E000000}"/>
    <hyperlink ref="A43" location="_0.05.03___ Aporte Patronal al Fondo" display="_0.05.03___ Aporte Patronal al Fondo" xr:uid="{00000000-0004-0000-0500-00001F000000}"/>
    <hyperlink ref="A45" location="_0.05.05___Contribución  patronal a " display="_0.05.05___Contribución  patronal a " xr:uid="{00000000-0004-0000-0500-000020000000}"/>
    <hyperlink ref="A47" location="OLE_LINK8" display="OLE_LINK8" xr:uid="{00000000-0004-0000-0500-000021000000}"/>
    <hyperlink ref="A48" location="_0.99.01___Gastos de representación " display="_0.99.01___Gastos de representación " xr:uid="{00000000-0004-0000-0500-000022000000}"/>
    <hyperlink ref="A51" location="_1___4" display="_1___4" xr:uid="{00000000-0004-0000-0500-000023000000}"/>
    <hyperlink ref="A52" location="_1.01__" display="_1.01__" xr:uid="{00000000-0004-0000-0500-000024000000}"/>
    <hyperlink ref="B52" location="_1.01__" display="_1.01__" xr:uid="{00000000-0004-0000-0500-000025000000}"/>
    <hyperlink ref="A53" location="_1.01.01___Alquiler de edificios, lo" display="_1.01.01___Alquiler de edificios, lo" xr:uid="{00000000-0004-0000-0500-000026000000}"/>
    <hyperlink ref="A54" location="_Hlt506254949" display="_Hlt506254949" xr:uid="{00000000-0004-0000-0500-000027000000}"/>
    <hyperlink ref="A55" location="_1.01.03___ Alquiler de equipo de có" display="_1.01.03___ Alquiler de equipo de có" xr:uid="{00000000-0004-0000-0500-000028000000}"/>
    <hyperlink ref="A56" location="_1.01.04___Alquiler y derechos para " display="_1.01.04___Alquiler y derechos para " xr:uid="{00000000-0004-0000-0500-000029000000}"/>
    <hyperlink ref="A57" location="_1.01.99___Otros alquileres" display="_1.01.99___Otros alquileres" xr:uid="{00000000-0004-0000-0500-00002A000000}"/>
    <hyperlink ref="A59" location="_1.02__" display="_1.02__" xr:uid="{00000000-0004-0000-0500-00002B000000}"/>
    <hyperlink ref="B59" location="_1.02__" display="_1.02__" xr:uid="{00000000-0004-0000-0500-00002C000000}"/>
    <hyperlink ref="A60" location="_1.02.01___Servicio de agua y alcant" display="_1.02.01___Servicio de agua y alcant" xr:uid="{00000000-0004-0000-0500-00002D000000}"/>
    <hyperlink ref="A61" location="_1.02.02__" display="_1.02.02__" xr:uid="{00000000-0004-0000-0500-00002E000000}"/>
    <hyperlink ref="A62" location="_1.02.03___ Servicio de correo" display="_1.02.03___ Servicio de correo" xr:uid="{00000000-0004-0000-0500-00002F000000}"/>
    <hyperlink ref="A63" location="_1.02.04___ Servicio de telecomunica" display="_1.02.04___ Servicio de telecomunica" xr:uid="{00000000-0004-0000-0500-000030000000}"/>
    <hyperlink ref="A64" location="_1.02.99___Otros servicios básicos" display="_1.02.99___Otros servicios básicos" xr:uid="{00000000-0004-0000-0500-000031000000}"/>
    <hyperlink ref="A66" location="_1.03__" display="_1.03__" xr:uid="{00000000-0004-0000-0500-000032000000}"/>
    <hyperlink ref="B66" location="_1.03__" display="_1.03__" xr:uid="{00000000-0004-0000-0500-000033000000}"/>
    <hyperlink ref="A67" location="_Hlt506255274" display="_Hlt506255274" xr:uid="{00000000-0004-0000-0500-000034000000}"/>
    <hyperlink ref="A68" location="_1.03.02__" display="_1.03.02__" xr:uid="{00000000-0004-0000-0500-000035000000}"/>
    <hyperlink ref="A69" location="_1.03.03___Impresión, encuadernación" display="_1.03.03___Impresión, encuadernación" xr:uid="{00000000-0004-0000-0500-000036000000}"/>
    <hyperlink ref="A70" location="_1.03.04___   Transporte de bienes" display="_1.03.04___   Transporte de bienes" xr:uid="{00000000-0004-0000-0500-000037000000}"/>
    <hyperlink ref="A71" location="_1.03.05__" display="_1.03.05__" xr:uid="{00000000-0004-0000-0500-000038000000}"/>
    <hyperlink ref="A72" location="_1.03.06___Comisiones y gastos por s" display="_1.03.06___Comisiones y gastos por s" xr:uid="{00000000-0004-0000-0500-000039000000}"/>
    <hyperlink ref="A73" location="_1.03.07___Servicios de transferenci" display="_1.03.07___Servicios de transferenci" xr:uid="{00000000-0004-0000-0500-00003A000000}"/>
    <hyperlink ref="A75" location="_1.04__" display="_1.04__" xr:uid="{00000000-0004-0000-0500-00003B000000}"/>
    <hyperlink ref="B75" location="_1.04__" display="_1.04__" xr:uid="{00000000-0004-0000-0500-00003C000000}"/>
    <hyperlink ref="A76" location="_1.04.01___Servicios médicos y de la" display="_1.04.01___Servicios médicos y de la" xr:uid="{00000000-0004-0000-0500-00003D000000}"/>
    <hyperlink ref="A77" location="_1.04.02___Servicios jurídicos" display="_1.04.02___Servicios jurídicos" xr:uid="{00000000-0004-0000-0500-00003E000000}"/>
    <hyperlink ref="A78" location="_1.04.03___Servicios de ingeniería" display="_1.04.03___Servicios de ingeniería" xr:uid="{00000000-0004-0000-0500-00003F000000}"/>
    <hyperlink ref="A79" location="_1.04.04___Servicios en ciencias eco" display="_1.04.04___Servicios en ciencias eco" xr:uid="{00000000-0004-0000-0500-000040000000}"/>
    <hyperlink ref="A80" location="_1.04.05___Servicios de desarrollo d" display="_1.04.05___Servicios de desarrollo d" xr:uid="{00000000-0004-0000-0500-000041000000}"/>
    <hyperlink ref="A81" location="_1.04.06___Servicios generales" display="_1.04.06___Servicios generales" xr:uid="{00000000-0004-0000-0500-000042000000}"/>
    <hyperlink ref="A82" location="_1.04.99___Otros servicios de gestió" display="_1.04.99___Otros servicios de gestió" xr:uid="{00000000-0004-0000-0500-000043000000}"/>
    <hyperlink ref="A84" location="_1.05__" display="_1.05__" xr:uid="{00000000-0004-0000-0500-000044000000}"/>
    <hyperlink ref="B84" location="_1.05__" display="_1.05__" xr:uid="{00000000-0004-0000-0500-000045000000}"/>
    <hyperlink ref="A85" location="_1.05.01___Transporte dentro del paí" display="_1.05.01___Transporte dentro del paí" xr:uid="{00000000-0004-0000-0500-000046000000}"/>
    <hyperlink ref="A86" location="_1.05.02___  Viáticos dentro del paí" display="_1.05.02___  Viáticos dentro del paí" xr:uid="{00000000-0004-0000-0500-000047000000}"/>
    <hyperlink ref="A87" location="_1.05.03__" display="_1.05.03__" xr:uid="{00000000-0004-0000-0500-000048000000}"/>
    <hyperlink ref="A88" location="_1.05.04___Viáticos en el exterior" display="_1.05.04___Viáticos en el exterior" xr:uid="{00000000-0004-0000-0500-000049000000}"/>
    <hyperlink ref="A90" location="_1.06__" display="_1.06__" xr:uid="{00000000-0004-0000-0500-00004A000000}"/>
    <hyperlink ref="B90" location="_1.06__" display="_1.06__" xr:uid="{00000000-0004-0000-0500-00004B000000}"/>
    <hyperlink ref="A91" location="_1.06.01__Seguros" display="_1.06.01__Seguros" xr:uid="{00000000-0004-0000-0500-00004C000000}"/>
    <hyperlink ref="A92" location="_1.06.02___Reaseguros" display="_1.06.02___Reaseguros" xr:uid="{00000000-0004-0000-0500-00004D000000}"/>
    <hyperlink ref="A93" location="_1.06.03___Obligaciones por contrato" display="_1.06.03___Obligaciones por contrato" xr:uid="{00000000-0004-0000-0500-00004E000000}"/>
    <hyperlink ref="A95" location="_1.07__" display="_1.07__" xr:uid="{00000000-0004-0000-0500-00004F000000}"/>
    <hyperlink ref="B95" location="_1.07__" display="_1.07__" xr:uid="{00000000-0004-0000-0500-000050000000}"/>
    <hyperlink ref="A96" location="_Hlt506361970" display="_Hlt506361970" xr:uid="{00000000-0004-0000-0500-000051000000}"/>
    <hyperlink ref="A97" location="_1.07.02___Actividades protocolarias" display="_1.07.02___Actividades protocolarias" xr:uid="{00000000-0004-0000-0500-000052000000}"/>
    <hyperlink ref="A98" location="_1.07.03___Gastos de representación " display="_1.07.03___Gastos de representación " xr:uid="{00000000-0004-0000-0500-000053000000}"/>
    <hyperlink ref="A100" location="_1.08__" display="_1.08__" xr:uid="{00000000-0004-0000-0500-000054000000}"/>
    <hyperlink ref="B100" location="_1.08__" display="_1.08__" xr:uid="{00000000-0004-0000-0500-000055000000}"/>
    <hyperlink ref="A101" location="_1.08.01___Mantenimiento de edificio" display="_1.08.01___Mantenimiento de edificio" xr:uid="{00000000-0004-0000-0500-000056000000}"/>
    <hyperlink ref="A102" location="_1.08.02___Mantenimiento de vías de " display="_1.08.02___Mantenimiento de vías de " xr:uid="{00000000-0004-0000-0500-000057000000}"/>
    <hyperlink ref="A103" location="_1.08.03___Mantenimiento de instalac" display="_1.08.03___Mantenimiento de instalac" xr:uid="{00000000-0004-0000-0500-000058000000}"/>
    <hyperlink ref="A104" location="_1.08.04___Mantenimiento y reparació" display="_1.08.04___Mantenimiento y reparació" xr:uid="{00000000-0004-0000-0500-000059000000}"/>
    <hyperlink ref="A105" location="_1.08.05___Mantenimiento y reparació" display="_1.08.05___Mantenimiento y reparació" xr:uid="{00000000-0004-0000-0500-00005A000000}"/>
    <hyperlink ref="A106" location="_1.08.06___  Mantenimiento y reparac" display="_1.08.06___  Mantenimiento y reparac" xr:uid="{00000000-0004-0000-0500-00005B000000}"/>
    <hyperlink ref="A107" location="_1.08.07___Mantenimiento y reparació" display="_1.08.07___Mantenimiento y reparació" xr:uid="{00000000-0004-0000-0500-00005C000000}"/>
    <hyperlink ref="A108" location="_1.08.08___Mantenimiento y reparació" display="_1.08.08___Mantenimiento y reparació" xr:uid="{00000000-0004-0000-0500-00005D000000}"/>
    <hyperlink ref="A109" location="_1.08.99___Mantenimiento y reparació" display="_1.08.99___Mantenimiento y reparació" xr:uid="{00000000-0004-0000-0500-00005E000000}"/>
    <hyperlink ref="A111" location="_1.09___Impuestos" display="_1.09___Impuestos" xr:uid="{00000000-0004-0000-0500-00005F000000}"/>
    <hyperlink ref="B111" location="_1.09___Impuestos" display="_1.09___Impuestos" xr:uid="{00000000-0004-0000-0500-000060000000}"/>
    <hyperlink ref="A112" location="_1.09.01___Impuestos sobre ingresos " display="_1.09.01___Impuestos sobre ingresos " xr:uid="{00000000-0004-0000-0500-000061000000}"/>
    <hyperlink ref="A113" location="_1.09.02___Impuestos sobre bienes in_1" display="_1.09.02___Impuestos sobre bienes in_1" xr:uid="{00000000-0004-0000-0500-000062000000}"/>
    <hyperlink ref="A114" location="_1.09.03___Impuestos de patentes" display="_1.09.03___Impuestos de patentes" xr:uid="{00000000-0004-0000-0500-000063000000}"/>
    <hyperlink ref="A115" location="_1.09.99__" display="_1.09.99__" xr:uid="{00000000-0004-0000-0500-000064000000}"/>
    <hyperlink ref="A117" location="_1.99__" display="_1.99__" xr:uid="{00000000-0004-0000-0500-000065000000}"/>
    <hyperlink ref="B117" location="_1.99__" display="_1.99__" xr:uid="{00000000-0004-0000-0500-000066000000}"/>
    <hyperlink ref="A118" location="_1.99.01___  Servicios de regulación" display="_1.99.01___  Servicios de regulación" xr:uid="{00000000-0004-0000-0500-000067000000}"/>
    <hyperlink ref="A119" location="_1.99.02___  Intereses moratorios y " display="_1.99.02___  Intereses moratorios y " xr:uid="{00000000-0004-0000-0500-000068000000}"/>
    <hyperlink ref="A120" location="_1.99.03___  Gastos de oficinas en e" display="_1.99.03___  Gastos de oficinas en e" xr:uid="{00000000-0004-0000-0500-000069000000}"/>
    <hyperlink ref="A121" location="_1.99.04__" display="_1.99.04__" xr:uid="{00000000-0004-0000-0500-00006A000000}"/>
    <hyperlink ref="A122" location="_1.99.05___  Deducibles" display="_1.99.05___  Deducibles" xr:uid="{00000000-0004-0000-0500-00006B000000}"/>
    <hyperlink ref="A123" location="_Hlt506356377" display="_Hlt506356377" xr:uid="{00000000-0004-0000-0500-00006C000000}"/>
    <hyperlink ref="A125" location="_2___4" display="_2___4" xr:uid="{00000000-0004-0000-0500-00006D000000}"/>
    <hyperlink ref="A126" location="_2.01_Productos_químicos" display="_2.01_Productos_químicos" xr:uid="{00000000-0004-0000-0500-00006E000000}"/>
    <hyperlink ref="B126" location="_2.01_Productos_químicos" display="_2.01_Productos_químicos" xr:uid="{00000000-0004-0000-0500-00006F000000}"/>
    <hyperlink ref="A127" location="_2.01.01___   Combustibles y lubrica_1" display="_2.01.01___   Combustibles y lubrica_1" xr:uid="{00000000-0004-0000-0500-000070000000}"/>
    <hyperlink ref="A128" location="_2.01.02___  Productos farmacéuticos" display="_2.01.02___  Productos farmacéuticos" xr:uid="{00000000-0004-0000-0500-000071000000}"/>
    <hyperlink ref="A129" location="_2.01.03___  Productos veterinarios" display="_2.01.03___  Productos veterinarios" xr:uid="{00000000-0004-0000-0500-000072000000}"/>
    <hyperlink ref="A130" location="_2.01.04___ Tintas, pinturas y diluy" display="_2.01.04___ Tintas, pinturas y diluy" xr:uid="{00000000-0004-0000-0500-000073000000}"/>
    <hyperlink ref="A131" location="_2.01.99___  Otros productos químico" display="_2.01.99___  Otros productos químico" xr:uid="{00000000-0004-0000-0500-000074000000}"/>
    <hyperlink ref="A133" location="_2.02___1" display="_2.02___1" xr:uid="{00000000-0004-0000-0500-000075000000}"/>
    <hyperlink ref="B133" location="_2.02___1" display="_2.02___1" xr:uid="{00000000-0004-0000-0500-000076000000}"/>
    <hyperlink ref="A134" location="_2.02.01__" display="_2.02.01__" xr:uid="{00000000-0004-0000-0500-000077000000}"/>
    <hyperlink ref="A135" location="_2.02.02___Productos agroforestales" display="_2.02.02___Productos agroforestales" xr:uid="{00000000-0004-0000-0500-000078000000}"/>
    <hyperlink ref="A136" location="_2.02.03___Alimentos y bebidas" display="_2.02.03___Alimentos y bebidas" xr:uid="{00000000-0004-0000-0500-000079000000}"/>
    <hyperlink ref="A137" location="_2.02.04___1" display="_2.02.04___1" xr:uid="{00000000-0004-0000-0500-00007A000000}"/>
    <hyperlink ref="A140" location="_2.03__" display="_2.03__" xr:uid="{00000000-0004-0000-0500-00007B000000}"/>
    <hyperlink ref="A141" location="_2.03.01___   Materiales y productos_1" display="_2.03.01___   Materiales y productos_1" xr:uid="{00000000-0004-0000-0500-00007C000000}"/>
    <hyperlink ref="A142" location="_2.03.02___   Materiales y productos_1" display="_2.03.02___   Materiales y productos_1" xr:uid="{00000000-0004-0000-0500-00007D000000}"/>
    <hyperlink ref="A143" location="_2.03.03___    Madera y sus derivado_1" display="_2.03.03___    Madera y sus derivado_1" xr:uid="{00000000-0004-0000-0500-00007E000000}"/>
    <hyperlink ref="A144" location="_2.03.04___  Materiales y productos _1" display="_2.03.04___  Materiales y productos _1" xr:uid="{00000000-0004-0000-0500-00007F000000}"/>
    <hyperlink ref="A145" location="_2.03.05___    Materiales y producto_1" display="_2.03.05___    Materiales y producto_1" xr:uid="{00000000-0004-0000-0500-000080000000}"/>
    <hyperlink ref="A146" location="_Hlt506356393" display="_Hlt506356393" xr:uid="{00000000-0004-0000-0500-000081000000}"/>
    <hyperlink ref="A147" location="_2.03.99___   Otros materiales y pro_1" display="_2.03.99___   Otros materiales y pro_1" xr:uid="{00000000-0004-0000-0500-000082000000}"/>
    <hyperlink ref="A149" location="_2.04__Herramientas," display="_2.04__Herramientas," xr:uid="{00000000-0004-0000-0500-000083000000}"/>
    <hyperlink ref="B149" location="_2.04__Herramientas," display="_2.04__Herramientas," xr:uid="{00000000-0004-0000-0500-000084000000}"/>
    <hyperlink ref="A150" location="_2.04.01___   Herramientas e instrum_1" display="_2.04.01___   Herramientas e instrum_1" xr:uid="{00000000-0004-0000-0500-000085000000}"/>
    <hyperlink ref="A151" location="_2.04.02__" display="_2.04.02__" xr:uid="{00000000-0004-0000-0500-000086000000}"/>
    <hyperlink ref="A153" location="_2.05__" display="_2.05__" xr:uid="{00000000-0004-0000-0500-000087000000}"/>
    <hyperlink ref="A154" location="_2.05.01___Materia prima_1" display="_2.05.01___Materia prima_1" xr:uid="{00000000-0004-0000-0500-000088000000}"/>
    <hyperlink ref="A155" location="_2.05.02___Productos terminados_1" display="_2.05.02___Productos terminados_1" xr:uid="{00000000-0004-0000-0500-000089000000}"/>
    <hyperlink ref="A156" location="_2.05.03___Energía eléctrica_1" display="_2.05.03___Energía eléctrica_1" xr:uid="{00000000-0004-0000-0500-00008A000000}"/>
    <hyperlink ref="A157" location="_Hlt506373174" display="_Hlt506373174" xr:uid="{00000000-0004-0000-0500-00008B000000}"/>
    <hyperlink ref="A159" location="_2.99___1" display="_2.99___1" xr:uid="{00000000-0004-0000-0500-00008C000000}"/>
    <hyperlink ref="B159" location="_2.99___1" display="_2.99___1" xr:uid="{00000000-0004-0000-0500-00008D000000}"/>
    <hyperlink ref="A160" location="_2.99.01__" display="_2.99.01__" xr:uid="{00000000-0004-0000-0500-00008E000000}"/>
    <hyperlink ref="A161" location="_2.99.02___ Útiles y materiales médi" display="_2.99.02___ Útiles y materiales médi" xr:uid="{00000000-0004-0000-0500-00008F000000}"/>
    <hyperlink ref="A162" location="_2.99.03__" display="_2.99.03__" xr:uid="{00000000-0004-0000-0500-000090000000}"/>
    <hyperlink ref="A163" location="_2.99.04__" display="_2.99.04__" xr:uid="{00000000-0004-0000-0500-000091000000}"/>
    <hyperlink ref="A164" location="_2.99.05___ Útiles y materiales de l" display="_2.99.05___ Útiles y materiales de l" xr:uid="{00000000-0004-0000-0500-000092000000}"/>
    <hyperlink ref="A165" location="_2.99.06__" display="_2.99.06__" xr:uid="{00000000-0004-0000-0500-000093000000}"/>
    <hyperlink ref="A166" location="_2.99.07__" display="_2.99.07__" xr:uid="{00000000-0004-0000-0500-000094000000}"/>
    <hyperlink ref="A167" location="_2.99.99__" display="_2.99.99__" xr:uid="{00000000-0004-0000-0500-000095000000}"/>
    <hyperlink ref="A169" location="_3___1" display="_3___1" xr:uid="{00000000-0004-0000-0500-000096000000}"/>
    <hyperlink ref="A170" location="_3.01_Intereses_sobre" display="_3.01_Intereses_sobre" xr:uid="{00000000-0004-0000-0500-000097000000}"/>
    <hyperlink ref="B170" location="_3.01_Intereses_sobre" display="_3.01_Intereses_sobre" xr:uid="{00000000-0004-0000-0500-000098000000}"/>
    <hyperlink ref="A171" location="_3.01.01__" display="_3.01.01__" xr:uid="{00000000-0004-0000-0500-000099000000}"/>
    <hyperlink ref="A172" location="_3.01.02___1" display="_3.01.02___1" xr:uid="{00000000-0004-0000-0500-00009A000000}"/>
    <hyperlink ref="A173" location="_3.01.03__Intereses" display="_3.01.03__Intereses" xr:uid="{00000000-0004-0000-0500-00009B000000}"/>
    <hyperlink ref="A174" location="_3.01.04__Intereses" display="_3.01.04__Intereses" xr:uid="{00000000-0004-0000-0500-00009C000000}"/>
    <hyperlink ref="A176" location="_3.02_Intereses_sobre" display="_3.02_Intereses_sobre" xr:uid="{00000000-0004-0000-0500-00009D000000}"/>
    <hyperlink ref="B176" location="_3.02_Intereses_sobre" display="_3.02_Intereses_sobre" xr:uid="{00000000-0004-0000-0500-00009E000000}"/>
    <hyperlink ref="A177" location="_3.02.01__" display="_3.02.01__" xr:uid="{00000000-0004-0000-0500-00009F000000}"/>
    <hyperlink ref="A178" location="_3.02.02__" display="_3.02.02__" xr:uid="{00000000-0004-0000-0500-0000A0000000}"/>
    <hyperlink ref="A179" location="_3.02.03___1" display="_3.02.03___1" xr:uid="{00000000-0004-0000-0500-0000A1000000}"/>
    <hyperlink ref="A180" location="_3.02.04___Intereses sobre préstamos" display="_3.02.04___Intereses sobre préstamos" xr:uid="{00000000-0004-0000-0500-0000A2000000}"/>
    <hyperlink ref="A181" location="_3.02.05__" display="_3.02.05__" xr:uid="{00000000-0004-0000-0500-0000A3000000}"/>
    <hyperlink ref="A182" location="_3.02.06__" display="_3.02.06__" xr:uid="{00000000-0004-0000-0500-0000A4000000}"/>
    <hyperlink ref="A183" location="_3.02.07__" display="_3.02.07__" xr:uid="{00000000-0004-0000-0500-0000A5000000}"/>
    <hyperlink ref="A184" location="_3.02.08__" display="_3.02.08__" xr:uid="{00000000-0004-0000-0500-0000A6000000}"/>
    <hyperlink ref="B186" location="_3.03__" display="_3.03__" xr:uid="{00000000-0004-0000-0500-0000A7000000}"/>
    <hyperlink ref="A187" location="_3.03.01__" display="_3.03.01__" xr:uid="{00000000-0004-0000-0500-0000A8000000}"/>
    <hyperlink ref="A188" location="_3.03.99___Intereses sobre otras obl" display="_3.03.99___Intereses sobre otras obl" xr:uid="{00000000-0004-0000-0500-0000A9000000}"/>
    <hyperlink ref="A190" location="_3.04_Comisiones_y" display="_3.04_Comisiones_y" xr:uid="{00000000-0004-0000-0500-0000AA000000}"/>
    <hyperlink ref="B190" location="_3.04_Comisiones_y" display="_3.04_Comisiones_y" xr:uid="{00000000-0004-0000-0500-0000AB000000}"/>
    <hyperlink ref="A191" location="_3.99.01__Comisiones" display="_3.99.01__Comisiones" xr:uid="{00000000-0004-0000-0500-0000AC000000}"/>
    <hyperlink ref="A192" location="_3.99.02__Comisiones" display="_3.99.02__Comisiones" xr:uid="{00000000-0004-0000-0500-0000AD000000}"/>
    <hyperlink ref="A193" location="_3.99.03__" display="_3.99.03__" xr:uid="{00000000-0004-0000-0500-0000AE000000}"/>
    <hyperlink ref="A194" location="_3.99.04__" display="_3.99.04__" xr:uid="{00000000-0004-0000-0500-0000AF000000}"/>
    <hyperlink ref="A195" location="_3.99.05__" display="_3.99.05__" xr:uid="{00000000-0004-0000-0500-0000B0000000}"/>
    <hyperlink ref="A197" location="_4__" display="_4__" xr:uid="{00000000-0004-0000-0500-0000B1000000}"/>
    <hyperlink ref="A198" location="_4.01_Préstamos_1" display="_4.01_Préstamos_1" xr:uid="{00000000-0004-0000-0500-0000B2000000}"/>
    <hyperlink ref="B198" location="_4.01_Préstamos_1" display="_4.01_Préstamos_1" xr:uid="{00000000-0004-0000-0500-0000B3000000}"/>
    <hyperlink ref="A199" location="_4.01.01__" display="_4.01.01__" xr:uid="{00000000-0004-0000-0500-0000B4000000}"/>
    <hyperlink ref="A200" location="_4.01.02__" display="_4.01.02__" xr:uid="{00000000-0004-0000-0500-0000B5000000}"/>
    <hyperlink ref="A201" location="_4.01.03__" display="_4.01.03__" xr:uid="{00000000-0004-0000-0500-0000B6000000}"/>
    <hyperlink ref="A202" location="_4.01.04__" display="_4.01.04__" xr:uid="{00000000-0004-0000-0500-0000B7000000}"/>
    <hyperlink ref="A203" location="_4.01.05__" display="_4.01.05__" xr:uid="{00000000-0004-0000-0500-0000B8000000}"/>
    <hyperlink ref="A204" location="_4.01.06__" display="_4.01.06__" xr:uid="{00000000-0004-0000-0500-0000B9000000}"/>
    <hyperlink ref="A205" location="_4.01.07__" display="_4.01.07__" xr:uid="{00000000-0004-0000-0500-0000BA000000}"/>
    <hyperlink ref="A206" location="_4.01.08__" display="_4.01.08__" xr:uid="{00000000-0004-0000-0500-0000BB000000}"/>
    <hyperlink ref="A208" location="_4.02_Adquisición_" display="_4.02_Adquisición_" xr:uid="{00000000-0004-0000-0500-0000BC000000}"/>
    <hyperlink ref="B208" location="_4.02_Adquisición_" display="_4.02_Adquisición_" xr:uid="{00000000-0004-0000-0500-0000BD000000}"/>
    <hyperlink ref="A209" location="_4.02.01__" display="_4.02.01__" xr:uid="{00000000-0004-0000-0500-0000BE000000}"/>
    <hyperlink ref="A210" location="_4.02.02__" display="_4.02.02__" xr:uid="{00000000-0004-0000-0500-0000BF000000}"/>
    <hyperlink ref="A211" location="_4.02.03__" display="_4.02.03__" xr:uid="{00000000-0004-0000-0500-0000C0000000}"/>
    <hyperlink ref="A212" location="_4.02.04__" display="_4.02.04__" xr:uid="{00000000-0004-0000-0500-0000C1000000}"/>
    <hyperlink ref="A213" location="_4.02.05___1" display="_4.02.05___1" xr:uid="{00000000-0004-0000-0500-0000C2000000}"/>
    <hyperlink ref="A214" location="_4.02.06__" display="_4.02.06__" xr:uid="{00000000-0004-0000-0500-0000C3000000}"/>
    <hyperlink ref="A215" location="_4.02.07__" display="_4.02.07__" xr:uid="{00000000-0004-0000-0500-0000C4000000}"/>
    <hyperlink ref="A216" location="_4.02.08__" display="_4.02.08__" xr:uid="{00000000-0004-0000-0500-0000C5000000}"/>
    <hyperlink ref="A218" location="_4.99.99__" display="_4.99.99__" xr:uid="{00000000-0004-0000-0500-0000C6000000}"/>
    <hyperlink ref="B218" location="_4.99.99__" display="_4.99.99__" xr:uid="{00000000-0004-0000-0500-0000C7000000}"/>
    <hyperlink ref="A219" location="_4.99.01__" display="_4.99.01__" xr:uid="{00000000-0004-0000-0500-0000C8000000}"/>
    <hyperlink ref="A220" location="_4.99.99__" display="_4.99.99__" xr:uid="{00000000-0004-0000-0500-0000C9000000}"/>
    <hyperlink ref="A222" location="_5___1" display="_5___1" xr:uid="{00000000-0004-0000-0500-0000CA000000}"/>
    <hyperlink ref="A223" location="_5.01___1" display="_5.01___1" xr:uid="{00000000-0004-0000-0500-0000CB000000}"/>
    <hyperlink ref="B223" location="_5.01___1" display="_5.01___1" xr:uid="{00000000-0004-0000-0500-0000CC000000}"/>
    <hyperlink ref="A224" location="_5.01.01__" display="_5.01.01__" xr:uid="{00000000-0004-0000-0500-0000CD000000}"/>
    <hyperlink ref="A225" location="_5.01.02___Equipo de transporte" display="_5.01.02___Equipo de transporte" xr:uid="{00000000-0004-0000-0500-0000CE000000}"/>
    <hyperlink ref="A226" location="_5.01.03__" display="_5.01.03__" xr:uid="{00000000-0004-0000-0500-0000CF000000}"/>
    <hyperlink ref="A227" location="_5.01.04___1" display="_5.01.04___1" xr:uid="{00000000-0004-0000-0500-0000D0000000}"/>
    <hyperlink ref="A228" location="_5.01.05__" display="_5.01.05__" xr:uid="{00000000-0004-0000-0500-0000D1000000}"/>
    <hyperlink ref="A229" location="_5.01.06__" display="_5.01.06__" xr:uid="{00000000-0004-0000-0500-0000D2000000}"/>
    <hyperlink ref="A230" location="_5.01.07___1" display="_5.01.07___1" xr:uid="{00000000-0004-0000-0500-0000D3000000}"/>
    <hyperlink ref="A231" location="_5.01.99__" display="_5.01.99__" xr:uid="{00000000-0004-0000-0500-0000D4000000}"/>
    <hyperlink ref="A233" location="_5.02_Construcciones,_adiciones" display="_5.02_Construcciones,_adiciones" xr:uid="{00000000-0004-0000-0500-0000D5000000}"/>
    <hyperlink ref="B233" location="_5.02_Construcciones,_adiciones" display="_5.02_Construcciones,_adiciones" xr:uid="{00000000-0004-0000-0500-0000D6000000}"/>
    <hyperlink ref="A234" location="_5.02.01___Edificios" display="_5.02.01___Edificios" xr:uid="{00000000-0004-0000-0500-0000D7000000}"/>
    <hyperlink ref="A235" location="_5.02.02__" display="_5.02.02__" xr:uid="{00000000-0004-0000-0500-0000D8000000}"/>
    <hyperlink ref="A236" location="_5.02.03___Vías férreas" display="_5.02.03___Vías férreas" xr:uid="{00000000-0004-0000-0500-0000D9000000}"/>
    <hyperlink ref="A237" location="_5.02.04___Obras marítimas y fluvial" display="_5.02.04___Obras marítimas y fluvial" xr:uid="{00000000-0004-0000-0500-0000DA000000}"/>
    <hyperlink ref="A238" location="_5.02.05__" display="_5.02.05__" xr:uid="{00000000-0004-0000-0500-0000DB000000}"/>
    <hyperlink ref="A239" location="_5.02.06__" display="_5.02.06__" xr:uid="{00000000-0004-0000-0500-0000DC000000}"/>
    <hyperlink ref="A240" location="_5.02.07__" display="_5.02.07__" xr:uid="{00000000-0004-0000-0500-0000DD000000}"/>
    <hyperlink ref="A241" location="_5.02.99__" display="_5.02.99__" xr:uid="{00000000-0004-0000-0500-0000DE000000}"/>
    <hyperlink ref="A243" location="_5.03__" display="_5.03__" xr:uid="{00000000-0004-0000-0500-0000DF000000}"/>
    <hyperlink ref="B243" location="_5.03__" display="_5.03__" xr:uid="{00000000-0004-0000-0500-0000E0000000}"/>
    <hyperlink ref="A244" location="_5.03.01__" display="_5.03.01__" xr:uid="{00000000-0004-0000-0500-0000E1000000}"/>
    <hyperlink ref="A245" location="_5.03.02__" display="_5.03.02__" xr:uid="{00000000-0004-0000-0500-0000E2000000}"/>
    <hyperlink ref="A246" location="_5.03.99__" display="_5.03.99__" xr:uid="{00000000-0004-0000-0500-0000E3000000}"/>
    <hyperlink ref="A248" location="_5.99__" display="_5.99__" xr:uid="{00000000-0004-0000-0500-0000E4000000}"/>
    <hyperlink ref="B248" location="_5.99__" display="_5.99__" xr:uid="{00000000-0004-0000-0500-0000E5000000}"/>
    <hyperlink ref="A249" location="_5.99.01___1" display="_5.99.01___1" xr:uid="{00000000-0004-0000-0500-0000E6000000}"/>
    <hyperlink ref="A250" location="_5.99.02__" display="_5.99.02__" xr:uid="{00000000-0004-0000-0500-0000E7000000}"/>
    <hyperlink ref="A251" location="_5.99.03__" display="_5.99.03__" xr:uid="{00000000-0004-0000-0500-0000E8000000}"/>
    <hyperlink ref="A252" location="_5.99.99__" display="_5.99.99__" xr:uid="{00000000-0004-0000-0500-0000E9000000}"/>
    <hyperlink ref="A254" location="_6_TRANSFERENCIAS_CORRIENTES_4" display="_6_TRANSFERENCIAS_CORRIENTES_4" xr:uid="{00000000-0004-0000-0500-0000EA000000}"/>
    <hyperlink ref="A255" location="_6.01__" display="_6.01__" xr:uid="{00000000-0004-0000-0500-0000EB000000}"/>
    <hyperlink ref="B255" location="_6.01__" display="_6.01__" xr:uid="{00000000-0004-0000-0500-0000EC000000}"/>
    <hyperlink ref="A256" location="_6.01.01__" display="_6.01.01__" xr:uid="{00000000-0004-0000-0500-0000ED000000}"/>
    <hyperlink ref="A257" location="_6.01.02__" display="_6.01.02__" xr:uid="{00000000-0004-0000-0500-0000EE000000}"/>
    <hyperlink ref="A258" location="_6.01.03__" display="_6.01.03__" xr:uid="{00000000-0004-0000-0500-0000EF000000}"/>
    <hyperlink ref="A259" location="_6.01.04__" display="_6.01.04__" xr:uid="{00000000-0004-0000-0500-0000F0000000}"/>
    <hyperlink ref="A260" location="_6.01.05__" display="_6.01.05__" xr:uid="{00000000-0004-0000-0500-0000F1000000}"/>
    <hyperlink ref="A261" location="_6.01.06__" display="_6.01.06__" xr:uid="{00000000-0004-0000-0500-0000F2000000}"/>
    <hyperlink ref="A262" location="_6.01.07__" display="_6.01.07__" xr:uid="{00000000-0004-0000-0500-0000F3000000}"/>
    <hyperlink ref="A263" location="_6.01.08__" display="_6.01.08__" xr:uid="{00000000-0004-0000-0500-0000F4000000}"/>
    <hyperlink ref="A264" location="_6.01.09__" display="_6.01.09__" xr:uid="{00000000-0004-0000-0500-0000F5000000}"/>
    <hyperlink ref="A266" location="_6.02___1" display="_6.02___1" xr:uid="{00000000-0004-0000-0500-0000F6000000}"/>
    <hyperlink ref="B266" location="_6.02___1" display="_6.02___1" xr:uid="{00000000-0004-0000-0500-0000F7000000}"/>
    <hyperlink ref="A267" location="_6.02.01__" display="_6.02.01__" xr:uid="{00000000-0004-0000-0500-0000F8000000}"/>
    <hyperlink ref="A268" location="_6.02.02__" display="_6.02.02__" xr:uid="{00000000-0004-0000-0500-0000F9000000}"/>
    <hyperlink ref="A269" location="_6.02.03__" display="_6.02.03__" xr:uid="{00000000-0004-0000-0500-0000FA000000}"/>
    <hyperlink ref="A270" location="_6.02.99__" display="_6.02.99__" xr:uid="{00000000-0004-0000-0500-0000FB000000}"/>
    <hyperlink ref="A272" location="_6.03__" display="_6.03__" xr:uid="{00000000-0004-0000-0500-0000FC000000}"/>
    <hyperlink ref="B272" location="_6.03__" display="_6.03__" xr:uid="{00000000-0004-0000-0500-0000FD000000}"/>
    <hyperlink ref="A273" location="_6.03.01___Prestaciones legales_1" display="_6.03.01___Prestaciones legales_1" xr:uid="{00000000-0004-0000-0500-0000FE000000}"/>
    <hyperlink ref="A274" location="_6.03.02__" display="_6.03.02__" xr:uid="{00000000-0004-0000-0500-0000FF000000}"/>
    <hyperlink ref="A275" location="_6.03.03__" display="_6.03.03__" xr:uid="{00000000-0004-0000-0500-000000010000}"/>
    <hyperlink ref="A276" location="_6.03.04__" display="_6.03.04__" xr:uid="{00000000-0004-0000-0500-000001010000}"/>
    <hyperlink ref="A277" location="_6.03.05__Cuota" display="_6.03.05__Cuota" xr:uid="{00000000-0004-0000-0500-000002010000}"/>
    <hyperlink ref="A278" location="_6.03.99___1" display="_6.03.99___1" xr:uid="{00000000-0004-0000-0500-000003010000}"/>
    <hyperlink ref="A280" location="_6.04__" display="_6.04__" xr:uid="{00000000-0004-0000-0500-000004010000}"/>
    <hyperlink ref="A281" location="_6.04.01__" display="_6.04.01__" xr:uid="{00000000-0004-0000-0500-000005010000}"/>
    <hyperlink ref="A282" location="_6.04.02__" display="_6.04.02__" xr:uid="{00000000-0004-0000-0500-000006010000}"/>
    <hyperlink ref="A283" location="_6.04.03___1" display="_6.04.03___1" xr:uid="{00000000-0004-0000-0500-000007010000}"/>
    <hyperlink ref="A284" location="_6.04.04__" display="_6.04.04__" xr:uid="{00000000-0004-0000-0500-000008010000}"/>
    <hyperlink ref="A286" location="_6.05__" display="_6.05__" xr:uid="{00000000-0004-0000-0500-000009010000}"/>
    <hyperlink ref="A287" location="_6.05.01__" display="_6.05.01__" xr:uid="{00000000-0004-0000-0500-00000A010000}"/>
    <hyperlink ref="A289" location="_6.06__" display="_6.06__" xr:uid="{00000000-0004-0000-0500-00000B010000}"/>
    <hyperlink ref="B289" location="_6.06__" display="_6.06__" xr:uid="{00000000-0004-0000-0500-00000C010000}"/>
    <hyperlink ref="A290" location="_6.06.01___1" display="_6.06.01___1" xr:uid="{00000000-0004-0000-0500-00000D010000}"/>
    <hyperlink ref="A291" location="_6.06.02__" display="_6.06.02__" xr:uid="{00000000-0004-0000-0500-00000E010000}"/>
    <hyperlink ref="A293" location="_6.07__" display="_6.07__" xr:uid="{00000000-0004-0000-0500-00000F010000}"/>
    <hyperlink ref="B293" location="_6.07__" display="_6.07__" xr:uid="{00000000-0004-0000-0500-000010010000}"/>
    <hyperlink ref="A294" location="_6.07.01__" display="_6.07.01__" xr:uid="{00000000-0004-0000-0500-000011010000}"/>
    <hyperlink ref="A295" location="_6.07.02___1" display="_6.07.02___1" xr:uid="{00000000-0004-0000-0500-000012010000}"/>
    <hyperlink ref="A297" location="_7__" display="_7__" xr:uid="{00000000-0004-0000-0500-000013010000}"/>
    <hyperlink ref="A298" location="_7.01__" display="_7.01__" xr:uid="{00000000-0004-0000-0500-000014010000}"/>
    <hyperlink ref="B298" location="_7.01__" display="_7.01__" xr:uid="{00000000-0004-0000-0500-000015010000}"/>
    <hyperlink ref="A299" location="_7.01.01__" display="_7.01.01__" xr:uid="{00000000-0004-0000-0500-000016010000}"/>
    <hyperlink ref="A300" location="_7.01.02__" display="_7.01.02__" xr:uid="{00000000-0004-0000-0500-000017010000}"/>
    <hyperlink ref="A301" location="_7.01.03__" display="_7.01.03__" xr:uid="{00000000-0004-0000-0500-000018010000}"/>
    <hyperlink ref="A302" location="_7.01.04__" display="_7.01.04__" xr:uid="{00000000-0004-0000-0500-000019010000}"/>
    <hyperlink ref="A304" location="_7.01.06__" display="_7.01.06__" xr:uid="{00000000-0004-0000-0500-00001A010000}"/>
    <hyperlink ref="A305" location="_7.01.07__" display="_7.01.07__" xr:uid="{00000000-0004-0000-0500-00001B010000}"/>
    <hyperlink ref="A307" location="_7.02__" display="_7.02__" xr:uid="{00000000-0004-0000-0500-00001C010000}"/>
    <hyperlink ref="A308" location="_7.02.01__Transferencias" display="_7.02.01__Transferencias" xr:uid="{00000000-0004-0000-0500-00001D010000}"/>
    <hyperlink ref="A310" location="_7.03___1" display="_7.03___1" xr:uid="{00000000-0004-0000-0500-00001E010000}"/>
    <hyperlink ref="B310" location="_7.03___1" display="_7.03___1" xr:uid="{00000000-0004-0000-0500-00001F010000}"/>
    <hyperlink ref="A311" location="_7.03.01__" display="_7.03.01__" xr:uid="{00000000-0004-0000-0500-000020010000}"/>
    <hyperlink ref="A312" location="_7.03.02__" display="_7.03.02__" xr:uid="{00000000-0004-0000-0500-000021010000}"/>
    <hyperlink ref="A313" location="_7.03.03__" display="_7.03.03__" xr:uid="{00000000-0004-0000-0500-000022010000}"/>
    <hyperlink ref="A314" location="_7.03.99_Transferencias_de" display="_7.03.99_Transferencias_de" xr:uid="{00000000-0004-0000-0500-000023010000}"/>
    <hyperlink ref="A316" location="_7.04___1" display="_7.04___1" xr:uid="{00000000-0004-0000-0500-000024010000}"/>
    <hyperlink ref="A317" location="_7.04.01__" display="_7.04.01__" xr:uid="{00000000-0004-0000-0500-000025010000}"/>
    <hyperlink ref="A319" location="_7.05__" display="_7.05__" xr:uid="{00000000-0004-0000-0500-000026010000}"/>
    <hyperlink ref="B319" location="_7.05__" display="_7.05__" xr:uid="{00000000-0004-0000-0500-000027010000}"/>
    <hyperlink ref="A320" location="_7.05.01_Transferencias_de" display="_7.05.01_Transferencias_de" xr:uid="{00000000-0004-0000-0500-000028010000}"/>
    <hyperlink ref="A321" location="_7.05.02__" display="_7.05.02__" xr:uid="{00000000-0004-0000-0500-000029010000}"/>
    <hyperlink ref="A323" location="_8_AMORTIZACION_2" display="_8_AMORTIZACION_2" xr:uid="{00000000-0004-0000-0500-00002A010000}"/>
    <hyperlink ref="A324" location="_8.01_Amortización_de" display="_8.01_Amortización_de" xr:uid="{00000000-0004-0000-0500-00002B010000}"/>
    <hyperlink ref="B324" location="_8.01_Amortización_de" display="_8.01_Amortización_de" xr:uid="{00000000-0004-0000-0500-00002C010000}"/>
    <hyperlink ref="A325" location="_8.01.01__" display="_8.01.01__" xr:uid="{00000000-0004-0000-0500-00002D010000}"/>
    <hyperlink ref="A326" location="_8.01.02__" display="_8.01.02__" xr:uid="{00000000-0004-0000-0500-00002E010000}"/>
    <hyperlink ref="A327" location="_8.01.03___1" display="_8.01.03___1" xr:uid="{00000000-0004-0000-0500-00002F010000}"/>
    <hyperlink ref="A328" location="_8.01.04__" display="_8.01.04__" xr:uid="{00000000-0004-0000-0500-000030010000}"/>
    <hyperlink ref="A330" location="_8.02_Amortización_de" display="_8.02_Amortización_de" xr:uid="{00000000-0004-0000-0500-000031010000}"/>
    <hyperlink ref="B330" location="_8.02_Amortización_de" display="_8.02_Amortización_de" xr:uid="{00000000-0004-0000-0500-000032010000}"/>
    <hyperlink ref="A331" location="_8.02.01__" display="_8.02.01__" xr:uid="{00000000-0004-0000-0500-000033010000}"/>
    <hyperlink ref="A332" location="_8.02.02__" display="_8.02.02__" xr:uid="{00000000-0004-0000-0500-000034010000}"/>
    <hyperlink ref="A333" location="_Amortización_de_préstamos" display="_Amortización_de_préstamos" xr:uid="{00000000-0004-0000-0500-000035010000}"/>
    <hyperlink ref="A334" location="_8.02.04__" display="_8.02.04__" xr:uid="{00000000-0004-0000-0500-000036010000}"/>
    <hyperlink ref="A335" location="_8.02.05__" display="_8.02.05__" xr:uid="{00000000-0004-0000-0500-000037010000}"/>
    <hyperlink ref="A336" location="_8.02.06__" display="_8.02.06__" xr:uid="{00000000-0004-0000-0500-000038010000}"/>
    <hyperlink ref="A337" location="_8.02.07__" display="_8.02.07__" xr:uid="{00000000-0004-0000-0500-000039010000}"/>
    <hyperlink ref="A338" location="_8.02.08__" display="_8.02.08__" xr:uid="{00000000-0004-0000-0500-00003A010000}"/>
    <hyperlink ref="A340" location="_9___1" display="_9___1" xr:uid="{00000000-0004-0000-0500-00003B010000}"/>
    <hyperlink ref="A341" location="_Hlt506371758" display="_Hlt506371758" xr:uid="{00000000-0004-0000-0500-00003C010000}"/>
    <hyperlink ref="B341" location="_Hlt506371758" display="_Hlt506371758" xr:uid="{00000000-0004-0000-0500-00003D010000}"/>
    <hyperlink ref="A342" location="_9.01.03__" display="_9.01.03__" xr:uid="{00000000-0004-0000-0500-00003E010000}"/>
    <hyperlink ref="A344" location="_9.02__" display="_9.02__" xr:uid="{00000000-0004-0000-0500-00003F010000}"/>
    <hyperlink ref="B344" location="_9.02__" display="_9.02__" xr:uid="{00000000-0004-0000-0500-000040010000}"/>
    <hyperlink ref="A345" location="_9.02.01__" display="_9.02.01__" xr:uid="{00000000-0004-0000-0500-000041010000}"/>
    <hyperlink ref="A346" location="_9.02.02__" display="_9.02.02__" xr:uid="{00000000-0004-0000-0500-000042010000}"/>
    <hyperlink ref="B10" location="_0__REMUNERACIONES" display="_0__REMUNERACIONES" xr:uid="{00000000-0004-0000-0500-000043010000}"/>
    <hyperlink ref="B12" location="_0.01.01_Sueldos_para_cargos fijos" display="_0.01.01_Sueldos_para_cargos fijos" xr:uid="{00000000-0004-0000-0500-000044010000}"/>
    <hyperlink ref="B13" location="_0.01.02_Jornales" display="_0.01.02_Jornales" xr:uid="{00000000-0004-0000-0500-000045010000}"/>
    <hyperlink ref="B14" location="_0.01.03___Servicios especiales" display="_0.01.03___Servicios especiales" xr:uid="{00000000-0004-0000-0500-000046010000}"/>
    <hyperlink ref="B15" location="_0.01.04___  Sueldos a base de comis" display="_0.01.04___  Sueldos a base de comis" xr:uid="{00000000-0004-0000-0500-000047010000}"/>
    <hyperlink ref="B16" location="_0.01.05_Suplencias" display="_0.01.05_Suplencias" xr:uid="{00000000-0004-0000-0500-000048010000}"/>
    <hyperlink ref="B19" location="_0.02.01_Tiempo_extraordinario" display="_0.02.01_Tiempo_extraordinario" xr:uid="{00000000-0004-0000-0500-000049010000}"/>
    <hyperlink ref="B20" location="_0.02.02_Recargo_de_funciones" display="_0.02.02_Recargo_de_funciones" xr:uid="{00000000-0004-0000-0500-00004A010000}"/>
    <hyperlink ref="B21" location="_0.02.03___  Disponibilidad laboral" display="_0.02.03___  Disponibilidad laboral" xr:uid="{00000000-0004-0000-0500-00004B010000}"/>
    <hyperlink ref="B22" location="_Hlt506206007" display="_Hlt506206007" xr:uid="{00000000-0004-0000-0500-00004C010000}"/>
    <hyperlink ref="B23" location="_0.01.05__" display="_0.01.05__" xr:uid="{00000000-0004-0000-0500-00004D010000}"/>
    <hyperlink ref="B26" location="_Hlt506206189" display="_Hlt506206189" xr:uid="{00000000-0004-0000-0500-00004E010000}"/>
    <hyperlink ref="B27" location="_0.03.02_Restricción_al_ejercicio  l" display="_0.03.02_Restricción_al_ejercicio  l" xr:uid="{00000000-0004-0000-0500-00004F010000}"/>
    <hyperlink ref="B28" location="_0.03.03___ Decimotercer mes" display="_0.03.03___ Decimotercer mes" xr:uid="{00000000-0004-0000-0500-000050010000}"/>
    <hyperlink ref="B29" location="_0.03.04___ Salario escolar" display="_0.03.04___ Salario escolar" xr:uid="{00000000-0004-0000-0500-000051010000}"/>
    <hyperlink ref="B30" location="_0.03.99__" display="_0.03.99__" xr:uid="{00000000-0004-0000-0500-000052010000}"/>
    <hyperlink ref="B33" location="_Contribución_Patronal_al" display="_Contribución_Patronal_al" xr:uid="{00000000-0004-0000-0500-000053010000}"/>
    <hyperlink ref="B34" location="_0.04.02__" display="_0.04.02__" xr:uid="{00000000-0004-0000-0500-000054010000}"/>
    <hyperlink ref="B35" location="_0.04.03___     Contribución Patrona" display="_0.04.03___     Contribución Patrona" xr:uid="{00000000-0004-0000-0500-000055010000}"/>
    <hyperlink ref="B36" location="_0.04.04___  Contribución Patronal a" display="_0.04.04___  Contribución Patronal a" xr:uid="{00000000-0004-0000-0500-000056010000}"/>
    <hyperlink ref="B37" location="_0.04.05___ Contribución Patronal al" display="_0.04.05___ Contribución Patronal al" xr:uid="{00000000-0004-0000-0500-000057010000}"/>
    <hyperlink ref="B39" location="OLE_LINK6" display="OLE_LINK6" xr:uid="{00000000-0004-0000-0500-000058010000}"/>
    <hyperlink ref="B40" location="OLE_LINK6" display="OLE_LINK6" xr:uid="{00000000-0004-0000-0500-000059010000}"/>
    <hyperlink ref="B41" location="_0.05.01___Contribución Patronal al " display="_0.05.01___Contribución Patronal al " xr:uid="{00000000-0004-0000-0500-00005A010000}"/>
    <hyperlink ref="B42" location="_0.05.02__" display="_0.05.02__" xr:uid="{00000000-0004-0000-0500-00005B010000}"/>
    <hyperlink ref="B43" location="_0.05.03___ Aporte Patronal al Fondo" display="_0.05.03___ Aporte Patronal al Fondo" xr:uid="{00000000-0004-0000-0500-00005C010000}"/>
    <hyperlink ref="B44" location="_0.05.04___ Contribución  patronal a" display="_0.05.04___ Contribución  patronal a" xr:uid="{00000000-0004-0000-0500-00005D010000}"/>
    <hyperlink ref="B45" location="_0.05.05___Contribución  patronal a " display="_0.05.05___Contribución  patronal a " xr:uid="{00000000-0004-0000-0500-00005E010000}"/>
    <hyperlink ref="A44" location="_0.05.04___ Contribución  patronal a" display="_0.05.04___ Contribución  patronal a" xr:uid="{00000000-0004-0000-0500-00005F010000}"/>
    <hyperlink ref="B47" location="OLE_LINK8" display="OLE_LINK8" xr:uid="{00000000-0004-0000-0500-000060010000}"/>
    <hyperlink ref="A49" location="_0.99.99__" display="_0.99.99__" xr:uid="{00000000-0004-0000-0500-000061010000}"/>
    <hyperlink ref="B48" location="_0.99.01___Gastos de representación " display="_0.99.01___Gastos de representación " xr:uid="{00000000-0004-0000-0500-000062010000}"/>
    <hyperlink ref="B49" location="_0.99.99__" display="_0.99.99__" xr:uid="{00000000-0004-0000-0500-000063010000}"/>
    <hyperlink ref="B51" location="_1___4" display="_1___4" xr:uid="{00000000-0004-0000-0500-000064010000}"/>
    <hyperlink ref="B53" location="_1.01.01___Alquiler de edificios, lo" display="_1.01.01___Alquiler de edificios, lo" xr:uid="{00000000-0004-0000-0500-000065010000}"/>
    <hyperlink ref="B54" location="_Hlt506254949" display="_Hlt506254949" xr:uid="{00000000-0004-0000-0500-000066010000}"/>
    <hyperlink ref="B55" location="_1.01.03___ Alquiler de equipo de có" display="_1.01.03___ Alquiler de equipo de có" xr:uid="{00000000-0004-0000-0500-000067010000}"/>
    <hyperlink ref="B56" location="_1.01.04___Alquiler y derechos para " display="_1.01.04___Alquiler y derechos para " xr:uid="{00000000-0004-0000-0500-000068010000}"/>
    <hyperlink ref="B57" location="_1.01.99___Otros alquileres" display="_1.01.99___Otros alquileres" xr:uid="{00000000-0004-0000-0500-000069010000}"/>
    <hyperlink ref="B60" location="_1.02.01___Servicio de agua y alcant" display="_1.02.01___Servicio de agua y alcant" xr:uid="{00000000-0004-0000-0500-00006A010000}"/>
    <hyperlink ref="B61" location="_1.02.02__" display="_1.02.02__" xr:uid="{00000000-0004-0000-0500-00006B010000}"/>
    <hyperlink ref="B62" location="_1.02.03___ Servicio de correo" display="_1.02.03___ Servicio de correo" xr:uid="{00000000-0004-0000-0500-00006C010000}"/>
    <hyperlink ref="B63" location="_1.02.04___ Servicio de telecomunica" display="_1.02.04___ Servicio de telecomunica" xr:uid="{00000000-0004-0000-0500-00006D010000}"/>
    <hyperlink ref="B64" location="_1.02.99___Otros servicios básicos" display="_1.02.99___Otros servicios básicos" xr:uid="{00000000-0004-0000-0500-00006E010000}"/>
    <hyperlink ref="B67" location="_Hlt506255274" display="_Hlt506255274" xr:uid="{00000000-0004-0000-0500-00006F010000}"/>
    <hyperlink ref="B68" location="_1.03.02__" display="_1.03.02__" xr:uid="{00000000-0004-0000-0500-000070010000}"/>
    <hyperlink ref="B69" location="_1.03.03___Impresión, encuadernación" display="_1.03.03___Impresión, encuadernación" xr:uid="{00000000-0004-0000-0500-000071010000}"/>
    <hyperlink ref="B70" location="_1.03.04___   Transporte de bienes" display="_1.03.04___   Transporte de bienes" xr:uid="{00000000-0004-0000-0500-000072010000}"/>
    <hyperlink ref="B71" location="_1.03.05__" display="_1.03.05__" xr:uid="{00000000-0004-0000-0500-000073010000}"/>
    <hyperlink ref="B72" location="_1.03.06___Comisiones y gastos por s" display="_1.03.06___Comisiones y gastos por s" xr:uid="{00000000-0004-0000-0500-000074010000}"/>
    <hyperlink ref="B73" location="_1.03.07___Servicios de transferenci" display="_1.03.07___Servicios de transferenci" xr:uid="{00000000-0004-0000-0500-000075010000}"/>
    <hyperlink ref="B76" location="_1.04.01___Servicios médicos y de la" display="_1.04.01___Servicios médicos y de la" xr:uid="{00000000-0004-0000-0500-000076010000}"/>
    <hyperlink ref="B77" location="_1.04.02___Servicios jurídicos" display="_1.04.02___Servicios jurídicos" xr:uid="{00000000-0004-0000-0500-000077010000}"/>
    <hyperlink ref="B78" location="_1.04.03___Servicios de ingeniería" display="_1.04.03___Servicios de ingeniería" xr:uid="{00000000-0004-0000-0500-000078010000}"/>
    <hyperlink ref="B79" location="_1.04.04___Servicios en ciencias eco" display="_1.04.04___Servicios en ciencias eco" xr:uid="{00000000-0004-0000-0500-000079010000}"/>
    <hyperlink ref="B80" location="_1.04.05___Servicios de desarrollo d" display="_1.04.05___Servicios de desarrollo d" xr:uid="{00000000-0004-0000-0500-00007A010000}"/>
    <hyperlink ref="B81" location="_1.04.06___Servicios generales" display="_1.04.06___Servicios generales" xr:uid="{00000000-0004-0000-0500-00007B010000}"/>
    <hyperlink ref="B82" location="_1.04.99___Otros servicios de gestió" display="_1.04.99___Otros servicios de gestió" xr:uid="{00000000-0004-0000-0500-00007C010000}"/>
    <hyperlink ref="B85" location="_1.05.01___Transporte dentro del paí" display="_1.05.01___Transporte dentro del paí" xr:uid="{00000000-0004-0000-0500-00007D010000}"/>
    <hyperlink ref="B86" location="_1.05.02___  Viáticos dentro del paí" display="_1.05.02___  Viáticos dentro del paí" xr:uid="{00000000-0004-0000-0500-00007E010000}"/>
    <hyperlink ref="B87" location="_1.05.03__" display="_1.05.03__" xr:uid="{00000000-0004-0000-0500-00007F010000}"/>
    <hyperlink ref="B88" location="_1.05.04___Viáticos en el exterior" display="_1.05.04___Viáticos en el exterior" xr:uid="{00000000-0004-0000-0500-000080010000}"/>
    <hyperlink ref="B91" location="_1.06.01__Seguros" display="_1.06.01__Seguros" xr:uid="{00000000-0004-0000-0500-000081010000}"/>
    <hyperlink ref="B92" location="_1.06.02___Reaseguros" display="_1.06.02___Reaseguros" xr:uid="{00000000-0004-0000-0500-000082010000}"/>
    <hyperlink ref="B93" location="_1.06.03___Obligaciones por contrato" display="_1.06.03___Obligaciones por contrato" xr:uid="{00000000-0004-0000-0500-000083010000}"/>
    <hyperlink ref="B96" location="_Hlt506361970" display="_Hlt506361970" xr:uid="{00000000-0004-0000-0500-000084010000}"/>
    <hyperlink ref="B97" location="_1.07.02___Actividades protocolarias" display="_1.07.02___Actividades protocolarias" xr:uid="{00000000-0004-0000-0500-000085010000}"/>
    <hyperlink ref="B98" location="_1.07.03___Gastos de representación " display="_1.07.03___Gastos de representación " xr:uid="{00000000-0004-0000-0500-000086010000}"/>
    <hyperlink ref="B101" location="_1.08.01___Mantenimiento de edificio" display="_1.08.01___Mantenimiento de edificio" xr:uid="{00000000-0004-0000-0500-000087010000}"/>
    <hyperlink ref="B102" location="_1.08.02___Mantenimiento de vías de " display="_1.08.02___Mantenimiento de vías de " xr:uid="{00000000-0004-0000-0500-000088010000}"/>
    <hyperlink ref="B103" location="_1.08.03___Mantenimiento de instalac" display="_1.08.03___Mantenimiento de instalac" xr:uid="{00000000-0004-0000-0500-000089010000}"/>
    <hyperlink ref="B104" location="_1.08.04___Mantenimiento y reparació" display="_1.08.04___Mantenimiento y reparació" xr:uid="{00000000-0004-0000-0500-00008A010000}"/>
    <hyperlink ref="B105" location="_1.08.05___Mantenimiento y reparació" display="_1.08.05___Mantenimiento y reparació" xr:uid="{00000000-0004-0000-0500-00008B010000}"/>
    <hyperlink ref="B106" location="_1.08.06___  Mantenimiento y reparac" display="_1.08.06___  Mantenimiento y reparac" xr:uid="{00000000-0004-0000-0500-00008C010000}"/>
    <hyperlink ref="B107" location="_1.08.07___Mantenimiento y reparació" display="_1.08.07___Mantenimiento y reparació" xr:uid="{00000000-0004-0000-0500-00008D010000}"/>
    <hyperlink ref="B108" location="_1.08.08___Mantenimiento y reparació" display="_1.08.08___Mantenimiento y reparació" xr:uid="{00000000-0004-0000-0500-00008E010000}"/>
    <hyperlink ref="B109" location="_1.08.99___Mantenimiento y reparació" display="_1.08.99___Mantenimiento y reparació" xr:uid="{00000000-0004-0000-0500-00008F010000}"/>
    <hyperlink ref="B112" location="_1.09.01___Impuestos sobre ingresos " display="_1.09.01___Impuestos sobre ingresos " xr:uid="{00000000-0004-0000-0500-000090010000}"/>
    <hyperlink ref="B113" location="_1.09.02___Impuestos sobre bienes in_1" display="_1.09.02___Impuestos sobre bienes in_1" xr:uid="{00000000-0004-0000-0500-000091010000}"/>
    <hyperlink ref="B114" location="_1.09.03___Impuestos de patentes" display="_1.09.03___Impuestos de patentes" xr:uid="{00000000-0004-0000-0500-000092010000}"/>
    <hyperlink ref="B115" location="_1.09.99__" display="_1.09.99__" xr:uid="{00000000-0004-0000-0500-000093010000}"/>
    <hyperlink ref="B118" location="_1.99.01___  Servicios de regulación" display="_1.99.01___  Servicios de regulación" xr:uid="{00000000-0004-0000-0500-000094010000}"/>
    <hyperlink ref="B119" location="_1.99.02___  Intereses moratorios y " display="_1.99.02___  Intereses moratorios y " xr:uid="{00000000-0004-0000-0500-000095010000}"/>
    <hyperlink ref="B120" location="_1.99.03___  Gastos de oficinas en e" display="_1.99.03___  Gastos de oficinas en e" xr:uid="{00000000-0004-0000-0500-000096010000}"/>
    <hyperlink ref="B121" location="_1.99.04__" display="_1.99.04__" xr:uid="{00000000-0004-0000-0500-000097010000}"/>
    <hyperlink ref="B122" location="_1.99.05___  Deducibles" display="_1.99.05___  Deducibles" xr:uid="{00000000-0004-0000-0500-000098010000}"/>
    <hyperlink ref="B123" location="_Hlt506356377" display="_Hlt506356377" xr:uid="{00000000-0004-0000-0500-000099010000}"/>
    <hyperlink ref="B125" location="_2___4" display="_2___4" xr:uid="{00000000-0004-0000-0500-00009A010000}"/>
    <hyperlink ref="B127" location="_2.01.01___   Combustibles y lubrica_1" display="_2.01.01___   Combustibles y lubrica_1" xr:uid="{00000000-0004-0000-0500-00009B010000}"/>
    <hyperlink ref="B128" location="_2.01.02___  Productos farmacéuticos" display="_2.01.02___  Productos farmacéuticos" xr:uid="{00000000-0004-0000-0500-00009C010000}"/>
    <hyperlink ref="B129" location="_2.01.03___  Productos veterinarios" display="_2.01.03___  Productos veterinarios" xr:uid="{00000000-0004-0000-0500-00009D010000}"/>
    <hyperlink ref="B130" location="_2.01.04___ Tintas, pinturas y diluy" display="_2.01.04___ Tintas, pinturas y diluy" xr:uid="{00000000-0004-0000-0500-00009E010000}"/>
    <hyperlink ref="B131" location="_2.01.99___  Otros productos químico" display="_2.01.99___  Otros productos químico" xr:uid="{00000000-0004-0000-0500-00009F010000}"/>
    <hyperlink ref="B134" location="_2.02.01__" display="_2.02.01__" xr:uid="{00000000-0004-0000-0500-0000A0010000}"/>
    <hyperlink ref="B135" location="_2.02.02___Productos agroforestales" display="_2.02.02___Productos agroforestales" xr:uid="{00000000-0004-0000-0500-0000A1010000}"/>
    <hyperlink ref="B136" location="_2.02.03___Alimentos y bebidas" display="_2.02.03___Alimentos y bebidas" xr:uid="{00000000-0004-0000-0500-0000A2010000}"/>
    <hyperlink ref="B137" location="_2.02.04___1" display="_2.02.04___1" xr:uid="{00000000-0004-0000-0500-0000A3010000}"/>
    <hyperlink ref="B140" location="_2.03__" display="_2.03__" xr:uid="{00000000-0004-0000-0500-0000A4010000}"/>
    <hyperlink ref="B141" location="_2.03.01___   Materiales y productos_1" display="_2.03.01___   Materiales y productos_1" xr:uid="{00000000-0004-0000-0500-0000A5010000}"/>
    <hyperlink ref="B142" location="_2.03.02___   Materiales y productos_1" display="_2.03.02___   Materiales y productos_1" xr:uid="{00000000-0004-0000-0500-0000A6010000}"/>
    <hyperlink ref="B143" location="_2.03.03___    Madera y sus derivado_1" display="_2.03.03___    Madera y sus derivado_1" xr:uid="{00000000-0004-0000-0500-0000A7010000}"/>
    <hyperlink ref="B144" location="_2.03.04___  Materiales y productos _1" display="_2.03.04___  Materiales y productos _1" xr:uid="{00000000-0004-0000-0500-0000A8010000}"/>
    <hyperlink ref="B145" location="_2.03.05___    Materiales y producto_1" display="_2.03.05___    Materiales y producto_1" xr:uid="{00000000-0004-0000-0500-0000A9010000}"/>
    <hyperlink ref="B146" location="_Hlt506356393" display="_Hlt506356393" xr:uid="{00000000-0004-0000-0500-0000AA010000}"/>
    <hyperlink ref="B147" location="_2.03.99___   Otros materiales y pro_1" display="_2.03.99___   Otros materiales y pro_1" xr:uid="{00000000-0004-0000-0500-0000AB010000}"/>
    <hyperlink ref="B150" location="_2.04.01___   Herramientas e instrum_1" display="_2.04.01___   Herramientas e instrum_1" xr:uid="{00000000-0004-0000-0500-0000AC010000}"/>
    <hyperlink ref="B151" location="_2.04.02__" display="_2.04.02__" xr:uid="{00000000-0004-0000-0500-0000AD010000}"/>
    <hyperlink ref="B153" location="_2.05__" display="_2.05__" xr:uid="{00000000-0004-0000-0500-0000AE010000}"/>
    <hyperlink ref="B154" location="_2.05.01___Materia prima_1" display="_2.05.01___Materia prima_1" xr:uid="{00000000-0004-0000-0500-0000AF010000}"/>
    <hyperlink ref="B155" location="_2.05.02___Productos terminados_1" display="_2.05.02___Productos terminados_1" xr:uid="{00000000-0004-0000-0500-0000B0010000}"/>
    <hyperlink ref="B156" location="_2.05.03___Energía eléctrica_1" display="_2.05.03___Energía eléctrica_1" xr:uid="{00000000-0004-0000-0500-0000B1010000}"/>
    <hyperlink ref="B157" location="_Hlt506373174" display="_Hlt506373174" xr:uid="{00000000-0004-0000-0500-0000B2010000}"/>
    <hyperlink ref="B160" location="_2.99.01__" display="_2.99.01__" xr:uid="{00000000-0004-0000-0500-0000B3010000}"/>
    <hyperlink ref="B161" location="_2.99.02___ Útiles y materiales médi" display="_2.99.02___ Útiles y materiales médi" xr:uid="{00000000-0004-0000-0500-0000B4010000}"/>
    <hyperlink ref="B162" location="_2.99.03__" display="_2.99.03__" xr:uid="{00000000-0004-0000-0500-0000B5010000}"/>
    <hyperlink ref="B163" location="_2.99.04__" display="_2.99.04__" xr:uid="{00000000-0004-0000-0500-0000B6010000}"/>
    <hyperlink ref="B164" location="_2.99.05___ Útiles y materiales de l" display="_2.99.05___ Útiles y materiales de l" xr:uid="{00000000-0004-0000-0500-0000B7010000}"/>
    <hyperlink ref="B165" location="_2.99.06__" display="_2.99.06__" xr:uid="{00000000-0004-0000-0500-0000B8010000}"/>
    <hyperlink ref="B166" location="_2.99.07__" display="_2.99.07__" xr:uid="{00000000-0004-0000-0500-0000B9010000}"/>
    <hyperlink ref="B167" location="_2.99.99__" display="_2.99.99__" xr:uid="{00000000-0004-0000-0500-0000BA010000}"/>
    <hyperlink ref="B169" location="_3___1" display="_3___1" xr:uid="{00000000-0004-0000-0500-0000BB010000}"/>
    <hyperlink ref="B171" location="_3.01.01__" display="_3.01.01__" xr:uid="{00000000-0004-0000-0500-0000BC010000}"/>
    <hyperlink ref="B172" location="_3.01.02___1" display="_3.01.02___1" xr:uid="{00000000-0004-0000-0500-0000BD010000}"/>
    <hyperlink ref="B173" location="_3.01.03__Intereses" display="_3.01.03__Intereses" xr:uid="{00000000-0004-0000-0500-0000BE010000}"/>
    <hyperlink ref="B174" location="_3.01.04__Intereses" display="_3.01.04__Intereses" xr:uid="{00000000-0004-0000-0500-0000BF010000}"/>
    <hyperlink ref="B177" location="_3.02.01__" display="_3.02.01__" xr:uid="{00000000-0004-0000-0500-0000C0010000}"/>
    <hyperlink ref="B178" location="_3.02.02__" display="_3.02.02__" xr:uid="{00000000-0004-0000-0500-0000C1010000}"/>
    <hyperlink ref="B179" location="_3.02.03___1" display="_3.02.03___1" xr:uid="{00000000-0004-0000-0500-0000C2010000}"/>
    <hyperlink ref="B180" location="_3.02.04___Intereses sobre préstamos" display="_3.02.04___Intereses sobre préstamos" xr:uid="{00000000-0004-0000-0500-0000C3010000}"/>
    <hyperlink ref="B181" location="_3.02.05__" display="_3.02.05__" xr:uid="{00000000-0004-0000-0500-0000C4010000}"/>
    <hyperlink ref="B182" location="_3.02.06__" display="_3.02.06__" xr:uid="{00000000-0004-0000-0500-0000C5010000}"/>
    <hyperlink ref="B183" location="_3.02.07__" display="_3.02.07__" xr:uid="{00000000-0004-0000-0500-0000C6010000}"/>
    <hyperlink ref="B184" location="_3.02.08__" display="_3.02.08__" xr:uid="{00000000-0004-0000-0500-0000C7010000}"/>
    <hyperlink ref="A186" location="_3.03__" display="_3.03__" xr:uid="{00000000-0004-0000-0500-0000C8010000}"/>
    <hyperlink ref="B187" location="_3.03.01__" display="_3.03.01__" xr:uid="{00000000-0004-0000-0500-0000C9010000}"/>
    <hyperlink ref="B188" location="_3.03.99___Intereses sobre otras obl" display="_3.03.99___Intereses sobre otras obl" xr:uid="{00000000-0004-0000-0500-0000CA010000}"/>
    <hyperlink ref="B191" location="_3.99.01__Comisiones" display="_3.99.01__Comisiones" xr:uid="{00000000-0004-0000-0500-0000CB010000}"/>
    <hyperlink ref="B192" location="_3.99.02__Comisiones" display="_3.99.02__Comisiones" xr:uid="{00000000-0004-0000-0500-0000CC010000}"/>
    <hyperlink ref="B193" location="_3.99.03__" display="_3.99.03__" xr:uid="{00000000-0004-0000-0500-0000CD010000}"/>
    <hyperlink ref="B194" location="_3.99.04__" display="_3.99.04__" xr:uid="{00000000-0004-0000-0500-0000CE010000}"/>
    <hyperlink ref="B195" location="_3.99.05__" display="_3.99.05__" xr:uid="{00000000-0004-0000-0500-0000CF010000}"/>
    <hyperlink ref="B199" location="_4.01.01__" display="_4.01.01__" xr:uid="{00000000-0004-0000-0500-0000D0010000}"/>
    <hyperlink ref="B200" location="_4.01.02__" display="_4.01.02__" xr:uid="{00000000-0004-0000-0500-0000D1010000}"/>
    <hyperlink ref="B201" location="_4.01.03__" display="_4.01.03__" xr:uid="{00000000-0004-0000-0500-0000D2010000}"/>
    <hyperlink ref="B202" location="_4.01.04__" display="_4.01.04__" xr:uid="{00000000-0004-0000-0500-0000D3010000}"/>
    <hyperlink ref="B203" location="_4.01.05__" display="_4.01.05__" xr:uid="{00000000-0004-0000-0500-0000D4010000}"/>
    <hyperlink ref="B204" location="_4.01.06__" display="_4.01.06__" xr:uid="{00000000-0004-0000-0500-0000D5010000}"/>
    <hyperlink ref="B205" location="_4.01.07__" display="_4.01.07__" xr:uid="{00000000-0004-0000-0500-0000D6010000}"/>
    <hyperlink ref="B206" location="_4.01.08__" display="_4.01.08__" xr:uid="{00000000-0004-0000-0500-0000D7010000}"/>
    <hyperlink ref="B209" location="_4.02.01__" display="_4.02.01__" xr:uid="{00000000-0004-0000-0500-0000D8010000}"/>
    <hyperlink ref="B210" location="_4.02.02__" display="_4.02.02__" xr:uid="{00000000-0004-0000-0500-0000D9010000}"/>
    <hyperlink ref="B211" location="_4.02.03__" display="_4.02.03__" xr:uid="{00000000-0004-0000-0500-0000DA010000}"/>
    <hyperlink ref="B212" location="_4.02.04__" display="_4.02.04__" xr:uid="{00000000-0004-0000-0500-0000DB010000}"/>
    <hyperlink ref="B213" location="_4.02.05___1" display="_4.02.05___1" xr:uid="{00000000-0004-0000-0500-0000DC010000}"/>
    <hyperlink ref="B214" location="_4.02.06__" display="_4.02.06__" xr:uid="{00000000-0004-0000-0500-0000DD010000}"/>
    <hyperlink ref="B215" location="_4.02.07__" display="_4.02.07__" xr:uid="{00000000-0004-0000-0500-0000DE010000}"/>
    <hyperlink ref="B216" location="_4.02.08__" display="_4.02.08__" xr:uid="{00000000-0004-0000-0500-0000DF010000}"/>
    <hyperlink ref="B219" location="_4.99.01__" display="_4.99.01__" xr:uid="{00000000-0004-0000-0500-0000E0010000}"/>
    <hyperlink ref="B220" location="_4.99.99__" display="_4.99.99__" xr:uid="{00000000-0004-0000-0500-0000E1010000}"/>
    <hyperlink ref="B222" location="_5___1" display="_5___1" xr:uid="{00000000-0004-0000-0500-0000E2010000}"/>
    <hyperlink ref="B224" location="_5.01.01__" display="_5.01.01__" xr:uid="{00000000-0004-0000-0500-0000E3010000}"/>
    <hyperlink ref="B225" location="_5.01.02___Equipo de transporte" display="_5.01.02___Equipo de transporte" xr:uid="{00000000-0004-0000-0500-0000E4010000}"/>
    <hyperlink ref="B226" location="_5.01.03__" display="_5.01.03__" xr:uid="{00000000-0004-0000-0500-0000E5010000}"/>
    <hyperlink ref="B227" location="_5.01.04___1" display="_5.01.04___1" xr:uid="{00000000-0004-0000-0500-0000E6010000}"/>
    <hyperlink ref="B228" location="_5.01.05__" display="_5.01.05__" xr:uid="{00000000-0004-0000-0500-0000E7010000}"/>
    <hyperlink ref="B229" location="_5.01.06__" display="_5.01.06__" xr:uid="{00000000-0004-0000-0500-0000E8010000}"/>
    <hyperlink ref="B230" location="_5.01.07___1" display="_5.01.07___1" xr:uid="{00000000-0004-0000-0500-0000E9010000}"/>
    <hyperlink ref="B231" location="_5.01.99__" display="_5.01.99__" xr:uid="{00000000-0004-0000-0500-0000EA010000}"/>
    <hyperlink ref="B234" location="_5.02.01___Edificios" display="_5.02.01___Edificios" xr:uid="{00000000-0004-0000-0500-0000EB010000}"/>
    <hyperlink ref="B235" location="_5.02.02__" display="_5.02.02__" xr:uid="{00000000-0004-0000-0500-0000EC010000}"/>
    <hyperlink ref="B236" location="_5.02.03___Vías férreas" display="_5.02.03___Vías férreas" xr:uid="{00000000-0004-0000-0500-0000ED010000}"/>
    <hyperlink ref="B237" location="_5.02.04___Obras marítimas y fluvial" display="_5.02.04___Obras marítimas y fluvial" xr:uid="{00000000-0004-0000-0500-0000EE010000}"/>
    <hyperlink ref="B238" location="_5.02.05__" display="_5.02.05__" xr:uid="{00000000-0004-0000-0500-0000EF010000}"/>
    <hyperlink ref="B239" location="_5.02.06__" display="_5.02.06__" xr:uid="{00000000-0004-0000-0500-0000F0010000}"/>
    <hyperlink ref="B240" location="_5.02.07__" display="_5.02.07__" xr:uid="{00000000-0004-0000-0500-0000F1010000}"/>
    <hyperlink ref="B241" location="_5.02.99__" display="_5.02.99__" xr:uid="{00000000-0004-0000-0500-0000F2010000}"/>
    <hyperlink ref="B244" location="_5.03.01__" display="_5.03.01__" xr:uid="{00000000-0004-0000-0500-0000F3010000}"/>
    <hyperlink ref="B245" location="_5.03.02__" display="_5.03.02__" xr:uid="{00000000-0004-0000-0500-0000F4010000}"/>
    <hyperlink ref="B246" location="_5.03.99__" display="_5.03.99__" xr:uid="{00000000-0004-0000-0500-0000F5010000}"/>
    <hyperlink ref="B249" location="_5.99.01___1" display="_5.99.01___1" xr:uid="{00000000-0004-0000-0500-0000F6010000}"/>
    <hyperlink ref="B250" location="_5.99.02__" display="_5.99.02__" xr:uid="{00000000-0004-0000-0500-0000F7010000}"/>
    <hyperlink ref="B251" location="_5.99.03__" display="_5.99.03__" xr:uid="{00000000-0004-0000-0500-0000F8010000}"/>
    <hyperlink ref="B252" location="_5.99.99__" display="_5.99.99__" xr:uid="{00000000-0004-0000-0500-0000F9010000}"/>
    <hyperlink ref="B254" location="_6_TRANSFERENCIAS_CORRIENTES_4" display="_6_TRANSFERENCIAS_CORRIENTES_4" xr:uid="{00000000-0004-0000-0500-0000FA010000}"/>
    <hyperlink ref="B267" location="_6.02.01__" display="_6.02.01__" xr:uid="{00000000-0004-0000-0500-0000FB010000}"/>
    <hyperlink ref="B268" location="_6.02.02__" display="_6.02.02__" xr:uid="{00000000-0004-0000-0500-0000FC010000}"/>
    <hyperlink ref="B269" location="_6.02.03__" display="_6.02.03__" xr:uid="{00000000-0004-0000-0500-0000FD010000}"/>
    <hyperlink ref="B270" location="_6.02.99__" display="_6.02.99__" xr:uid="{00000000-0004-0000-0500-0000FE010000}"/>
    <hyperlink ref="B273" location="_6.03.01___Prestaciones legales_1" display="_6.03.01___Prestaciones legales_1" xr:uid="{00000000-0004-0000-0500-0000FF010000}"/>
    <hyperlink ref="B274" location="_6.03.02__" display="_6.03.02__" xr:uid="{00000000-0004-0000-0500-000000020000}"/>
    <hyperlink ref="B275" location="_6.03.03__" display="_6.03.03__" xr:uid="{00000000-0004-0000-0500-000001020000}"/>
    <hyperlink ref="B276" location="_6.03.04__" display="_6.03.04__" xr:uid="{00000000-0004-0000-0500-000002020000}"/>
    <hyperlink ref="B277" location="_6.03.05__Cuota" display="_6.03.05__Cuota" xr:uid="{00000000-0004-0000-0500-000003020000}"/>
    <hyperlink ref="B278" location="_6.03.99___1" display="_6.03.99___1" xr:uid="{00000000-0004-0000-0500-000004020000}"/>
    <hyperlink ref="B280" location="_6.04__" display="_6.04__" xr:uid="{00000000-0004-0000-0500-000005020000}"/>
    <hyperlink ref="B281" location="_6.04.01__" display="_6.04.01__" xr:uid="{00000000-0004-0000-0500-000006020000}"/>
    <hyperlink ref="B282" location="_6.04.02__" display="_6.04.02__" xr:uid="{00000000-0004-0000-0500-000007020000}"/>
    <hyperlink ref="B283" location="_6.04.03___1" display="_6.04.03___1" xr:uid="{00000000-0004-0000-0500-000008020000}"/>
    <hyperlink ref="B284" location="_6.04.04__" display="_6.04.04__" xr:uid="{00000000-0004-0000-0500-000009020000}"/>
    <hyperlink ref="B286" location="_6.05__" display="_6.05__" xr:uid="{00000000-0004-0000-0500-00000A020000}"/>
    <hyperlink ref="B287" location="_6.05.01__" display="_6.05.01__" xr:uid="{00000000-0004-0000-0500-00000B020000}"/>
    <hyperlink ref="B290" location="_6.06.01___1" display="_6.06.01___1" xr:uid="{00000000-0004-0000-0500-00000C020000}"/>
    <hyperlink ref="B291" location="_6.06.02__" display="_6.06.02__" xr:uid="{00000000-0004-0000-0500-00000D020000}"/>
    <hyperlink ref="B294" location="_6.07.01__" display="_6.07.01__" xr:uid="{00000000-0004-0000-0500-00000E020000}"/>
    <hyperlink ref="B295" location="_6.07.02___1" display="_6.07.02___1" xr:uid="{00000000-0004-0000-0500-00000F020000}"/>
    <hyperlink ref="B256" location="_6.01.01__" display="_6.01.01__" xr:uid="{00000000-0004-0000-0500-000010020000}"/>
    <hyperlink ref="B257" location="_6.01.02__" display="_6.01.02__" xr:uid="{00000000-0004-0000-0500-000011020000}"/>
    <hyperlink ref="B258" location="_6.01.03__" display="_6.01.03__" xr:uid="{00000000-0004-0000-0500-000012020000}"/>
    <hyperlink ref="B259" location="_6.01.04__" display="_6.01.04__" xr:uid="{00000000-0004-0000-0500-000013020000}"/>
    <hyperlink ref="B260" location="_6.01.05__" display="_6.01.05__" xr:uid="{00000000-0004-0000-0500-000014020000}"/>
    <hyperlink ref="B261" location="_6.01.06__" display="_6.01.06__" xr:uid="{00000000-0004-0000-0500-000015020000}"/>
    <hyperlink ref="B262" location="_6.01.07__" display="_6.01.07__" xr:uid="{00000000-0004-0000-0500-000016020000}"/>
    <hyperlink ref="B263" location="_6.01.08__" display="_6.01.08__" xr:uid="{00000000-0004-0000-0500-000017020000}"/>
    <hyperlink ref="B264" location="_6.01.09__" display="_6.01.09__" xr:uid="{00000000-0004-0000-0500-000018020000}"/>
    <hyperlink ref="B297" location="_7__" display="_7__" xr:uid="{00000000-0004-0000-0500-000019020000}"/>
    <hyperlink ref="B299" location="_7.01.01__" display="_7.01.01__" xr:uid="{00000000-0004-0000-0500-00001A020000}"/>
    <hyperlink ref="B300" location="_7.01.02__" display="_7.01.02__" xr:uid="{00000000-0004-0000-0500-00001B020000}"/>
    <hyperlink ref="B301" location="_7.01.03__" display="_7.01.03__" xr:uid="{00000000-0004-0000-0500-00001C020000}"/>
    <hyperlink ref="B302" location="_7.01.04__" display="_7.01.04__" xr:uid="{00000000-0004-0000-0500-00001D020000}"/>
    <hyperlink ref="B303" location="_7.01.05__" display="_7.01.05__" xr:uid="{00000000-0004-0000-0500-00001E020000}"/>
    <hyperlink ref="B304" location="_7.01.06__" display="_7.01.06__" xr:uid="{00000000-0004-0000-0500-00001F020000}"/>
    <hyperlink ref="B305" location="_7.01.07__" display="_7.01.07__" xr:uid="{00000000-0004-0000-0500-000020020000}"/>
    <hyperlink ref="B307" location="_7.02__" display="_7.02__" xr:uid="{00000000-0004-0000-0500-000021020000}"/>
    <hyperlink ref="B308" location="_7.02.01__Transferencias" display="_7.02.01__Transferencias" xr:uid="{00000000-0004-0000-0500-000022020000}"/>
    <hyperlink ref="B311" location="_7.03.01__" display="_7.03.01__" xr:uid="{00000000-0004-0000-0500-000023020000}"/>
    <hyperlink ref="B312" location="_7.03.02__" display="_7.03.02__" xr:uid="{00000000-0004-0000-0500-000024020000}"/>
    <hyperlink ref="B313" location="_7.03.03__" display="_7.03.03__" xr:uid="{00000000-0004-0000-0500-000025020000}"/>
    <hyperlink ref="B314" location="_7.03.99_Transferencias_de" display="_7.03.99_Transferencias_de" xr:uid="{00000000-0004-0000-0500-000026020000}"/>
    <hyperlink ref="B316" location="_7.04___1" display="_7.04___1" xr:uid="{00000000-0004-0000-0500-000027020000}"/>
    <hyperlink ref="B317" location="_7.04.01__" display="_7.04.01__" xr:uid="{00000000-0004-0000-0500-000028020000}"/>
    <hyperlink ref="B320" location="_7.05.01_Transferencias_de" display="_7.05.01_Transferencias_de" xr:uid="{00000000-0004-0000-0500-000029020000}"/>
    <hyperlink ref="B321" location="_7.05.02__" display="_7.05.02__" xr:uid="{00000000-0004-0000-0500-00002A020000}"/>
    <hyperlink ref="B323" location="_8_AMORTIZACION_2" display="_8_AMORTIZACION_2" xr:uid="{00000000-0004-0000-0500-00002B020000}"/>
    <hyperlink ref="B325" location="_8.01.01__" display="_8.01.01__" xr:uid="{00000000-0004-0000-0500-00002C020000}"/>
    <hyperlink ref="B326" location="_8.01.02__" display="_8.01.02__" xr:uid="{00000000-0004-0000-0500-00002D020000}"/>
    <hyperlink ref="B327" location="_8.01.03___1" display="_8.01.03___1" xr:uid="{00000000-0004-0000-0500-00002E020000}"/>
    <hyperlink ref="B328" location="_8.01.04__" display="_8.01.04__" xr:uid="{00000000-0004-0000-0500-00002F020000}"/>
    <hyperlink ref="B331" location="_8.02.01__" display="_8.02.01__" xr:uid="{00000000-0004-0000-0500-000030020000}"/>
    <hyperlink ref="B332" location="_8.02.02__" display="_8.02.02__" xr:uid="{00000000-0004-0000-0500-000031020000}"/>
    <hyperlink ref="B333" location="_Amortización_de_préstamos" display="_Amortización_de_préstamos" xr:uid="{00000000-0004-0000-0500-000032020000}"/>
    <hyperlink ref="B334" location="_8.02.04__" display="_8.02.04__" xr:uid="{00000000-0004-0000-0500-000033020000}"/>
    <hyperlink ref="B335" location="_8.02.05__" display="_8.02.05__" xr:uid="{00000000-0004-0000-0500-000034020000}"/>
    <hyperlink ref="B336" location="_8.02.06__" display="_8.02.06__" xr:uid="{00000000-0004-0000-0500-000035020000}"/>
    <hyperlink ref="B337" location="_8.02.07__" display="_8.02.07__" xr:uid="{00000000-0004-0000-0500-000036020000}"/>
    <hyperlink ref="B338" location="_8.02.08__" display="_8.02.08__" xr:uid="{00000000-0004-0000-0500-000037020000}"/>
    <hyperlink ref="B340" location="_9___1" display="_9___1" xr:uid="{00000000-0004-0000-0500-000038020000}"/>
    <hyperlink ref="B342" location="_9.01.03__" display="_9.01.03__" xr:uid="{00000000-0004-0000-0500-000039020000}"/>
    <hyperlink ref="B345" location="_9.02.01__" display="_9.02.01__" xr:uid="{00000000-0004-0000-0500-00003A020000}"/>
    <hyperlink ref="B346" location="_9.02.02__" display="_9.02.02__" xr:uid="{00000000-0004-0000-0500-00003B020000}"/>
    <hyperlink ref="B197" location="_4__" display="_4__" xr:uid="{00000000-0004-0000-0500-00003C020000}"/>
    <hyperlink ref="B32" location="_Contribución_Patronal_al" display="_Contribución_Patronal_al" xr:uid="{00000000-0004-0000-0500-00003D020000}"/>
  </hyperlinks>
  <pageMargins left="0.39370078740157483" right="0.19685039370078741" top="0.39370078740157483" bottom="0.39370078740157483" header="0" footer="0"/>
  <pageSetup scale="90" orientation="portrait" horizontalDpi="4294967294" verticalDpi="144"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76"/>
  <sheetViews>
    <sheetView showGridLines="0" showRuler="0" view="pageLayout" topLeftCell="U1" zoomScaleNormal="100" workbookViewId="0">
      <selection activeCell="Y10" sqref="Y10"/>
    </sheetView>
  </sheetViews>
  <sheetFormatPr baseColWidth="10" defaultRowHeight="15.75" customHeight="1"/>
  <cols>
    <col min="1" max="1" width="2.85546875" style="265" customWidth="1"/>
    <col min="2" max="2" width="5.140625" style="269" customWidth="1"/>
    <col min="3" max="3" width="8.42578125" style="269" customWidth="1"/>
    <col min="4" max="4" width="30.42578125" style="269" customWidth="1"/>
    <col min="5" max="5" width="37.140625" style="265" customWidth="1"/>
    <col min="6" max="6" width="0.140625" style="265" customWidth="1"/>
    <col min="7" max="7" width="14" style="265" hidden="1" customWidth="1"/>
    <col min="8" max="8" width="13.140625" style="265" hidden="1" customWidth="1"/>
    <col min="9" max="9" width="13" style="265" hidden="1" customWidth="1"/>
    <col min="10" max="11" width="12.85546875" style="265" hidden="1" customWidth="1"/>
    <col min="12" max="13" width="15.42578125" style="265" hidden="1" customWidth="1"/>
    <col min="14" max="14" width="12.85546875" style="265" hidden="1" customWidth="1"/>
    <col min="15" max="15" width="13.42578125" style="265" customWidth="1"/>
    <col min="16" max="16" width="13.5703125" style="265" customWidth="1"/>
    <col min="17" max="17" width="14.5703125" style="265" hidden="1" customWidth="1"/>
    <col min="18" max="18" width="16.7109375" style="265" customWidth="1"/>
    <col min="19" max="19" width="14.7109375" style="265" customWidth="1"/>
    <col min="20" max="20" width="14.7109375" style="266" customWidth="1"/>
    <col min="21" max="21" width="13.7109375" style="266" customWidth="1"/>
    <col min="22" max="22" width="14.7109375" style="266" customWidth="1"/>
    <col min="23" max="23" width="13.42578125" style="266" customWidth="1"/>
    <col min="24" max="24" width="15.28515625" style="265" customWidth="1"/>
    <col min="25" max="25" width="16.140625" style="265" customWidth="1"/>
    <col min="26" max="26" width="18.42578125" style="266" customWidth="1"/>
    <col min="27" max="27" width="15" style="265" bestFit="1" customWidth="1"/>
    <col min="28" max="28" width="16" style="265" customWidth="1"/>
    <col min="29" max="29" width="14.140625" style="265" customWidth="1"/>
    <col min="30" max="16384" width="11.42578125" style="265"/>
  </cols>
  <sheetData>
    <row r="1" spans="1:29" ht="15.75" customHeight="1">
      <c r="B1" s="1018" t="s">
        <v>199</v>
      </c>
      <c r="C1" s="1018"/>
      <c r="D1" s="1018"/>
      <c r="E1" s="1018"/>
      <c r="F1" s="1018"/>
      <c r="G1" s="1018"/>
      <c r="H1" s="1018"/>
      <c r="I1" s="1018"/>
      <c r="J1" s="1018"/>
      <c r="K1" s="1018"/>
      <c r="L1" s="1018"/>
      <c r="M1" s="1018"/>
      <c r="N1" s="1018"/>
      <c r="O1" s="1018"/>
      <c r="P1" s="1018"/>
      <c r="Q1" s="1018"/>
      <c r="R1" s="1018"/>
      <c r="S1" s="1018"/>
      <c r="T1" s="1018"/>
      <c r="U1" s="1018"/>
      <c r="V1" s="1018"/>
      <c r="W1" s="1018"/>
      <c r="X1" s="1018"/>
      <c r="Y1" s="1018"/>
    </row>
    <row r="2" spans="1:29" ht="15.75" customHeight="1">
      <c r="B2" s="1018" t="s">
        <v>1354</v>
      </c>
      <c r="C2" s="1018"/>
      <c r="D2" s="1018"/>
      <c r="E2" s="1018"/>
      <c r="F2" s="1018"/>
      <c r="G2" s="1018"/>
      <c r="H2" s="1018"/>
      <c r="I2" s="1018"/>
      <c r="J2" s="1018"/>
      <c r="K2" s="1018"/>
      <c r="L2" s="1018"/>
      <c r="M2" s="1018"/>
      <c r="N2" s="1018"/>
      <c r="O2" s="1018"/>
      <c r="P2" s="1018"/>
      <c r="Q2" s="1018"/>
      <c r="R2" s="1018"/>
      <c r="S2" s="1018"/>
      <c r="T2" s="1018"/>
      <c r="U2" s="1018"/>
      <c r="V2" s="1018"/>
      <c r="W2" s="1018"/>
      <c r="X2" s="1018"/>
      <c r="Y2" s="1018"/>
    </row>
    <row r="3" spans="1:29" ht="12.75" customHeight="1">
      <c r="B3" s="1019" t="s">
        <v>1008</v>
      </c>
      <c r="C3" s="1019"/>
      <c r="D3" s="1019"/>
      <c r="E3" s="1019"/>
      <c r="F3" s="1019"/>
      <c r="G3" s="1019"/>
      <c r="H3" s="1019"/>
      <c r="I3" s="1019"/>
      <c r="J3" s="1019"/>
      <c r="K3" s="1019"/>
      <c r="L3" s="1019"/>
      <c r="M3" s="1019"/>
      <c r="N3" s="1019"/>
      <c r="O3" s="1019"/>
      <c r="P3" s="1019"/>
      <c r="Q3" s="1019"/>
      <c r="R3" s="1019"/>
      <c r="S3" s="1019"/>
      <c r="T3" s="1019"/>
      <c r="U3" s="1019"/>
      <c r="V3" s="1019"/>
      <c r="W3" s="1019"/>
      <c r="X3" s="1019"/>
      <c r="Y3" s="1019"/>
    </row>
    <row r="4" spans="1:29" ht="15.75" customHeight="1">
      <c r="B4" s="1018" t="s">
        <v>399</v>
      </c>
      <c r="C4" s="1018"/>
      <c r="D4" s="1018"/>
      <c r="E4" s="1018"/>
      <c r="F4" s="1018"/>
      <c r="G4" s="1018"/>
      <c r="H4" s="1018"/>
      <c r="I4" s="1018"/>
      <c r="J4" s="1018"/>
      <c r="K4" s="1018"/>
      <c r="L4" s="1018"/>
      <c r="M4" s="1018"/>
      <c r="N4" s="1018"/>
      <c r="O4" s="1018"/>
      <c r="P4" s="1018"/>
      <c r="Q4" s="1018"/>
      <c r="R4" s="1018"/>
      <c r="S4" s="1018"/>
      <c r="T4" s="1018"/>
      <c r="U4" s="1018"/>
      <c r="V4" s="1018"/>
      <c r="W4" s="1018"/>
      <c r="X4" s="1018"/>
      <c r="Y4" s="1018"/>
    </row>
    <row r="5" spans="1:29" ht="15.75" customHeight="1">
      <c r="B5" s="1018" t="s">
        <v>352</v>
      </c>
      <c r="C5" s="1018"/>
      <c r="D5" s="1018"/>
      <c r="E5" s="1018"/>
      <c r="F5" s="1018"/>
      <c r="G5" s="1018"/>
      <c r="H5" s="1018"/>
      <c r="I5" s="1018"/>
      <c r="J5" s="1018"/>
      <c r="K5" s="1018"/>
      <c r="L5" s="1018"/>
      <c r="M5" s="1018"/>
      <c r="N5" s="1018"/>
      <c r="O5" s="1018"/>
      <c r="P5" s="1018"/>
      <c r="Q5" s="1018"/>
      <c r="R5" s="1018"/>
      <c r="S5" s="1018"/>
      <c r="T5" s="1018"/>
      <c r="U5" s="1018"/>
      <c r="V5" s="1018"/>
      <c r="W5" s="1018"/>
      <c r="X5" s="1018"/>
      <c r="Y5" s="1018"/>
    </row>
    <row r="6" spans="1:29" ht="15.75" customHeight="1">
      <c r="B6" s="1018"/>
      <c r="C6" s="1018"/>
      <c r="D6" s="1018"/>
      <c r="E6" s="1018"/>
      <c r="F6" s="1018"/>
      <c r="G6" s="1018"/>
      <c r="H6" s="1018"/>
      <c r="I6" s="1018"/>
      <c r="J6" s="1018"/>
      <c r="K6" s="1018"/>
      <c r="L6" s="1018"/>
      <c r="M6" s="1018"/>
      <c r="N6" s="1018"/>
      <c r="O6" s="1018"/>
      <c r="P6" s="1018"/>
      <c r="Q6" s="1018"/>
      <c r="R6" s="1018"/>
      <c r="S6" s="1018"/>
      <c r="T6" s="1018"/>
      <c r="U6" s="1018"/>
      <c r="V6" s="1018"/>
      <c r="W6" s="1018"/>
      <c r="X6" s="1018"/>
      <c r="Y6" s="1018"/>
    </row>
    <row r="7" spans="1:29" ht="15.75" customHeight="1">
      <c r="A7" s="1010"/>
      <c r="B7" s="1010"/>
      <c r="C7" s="1010"/>
      <c r="D7" s="1010"/>
      <c r="E7" s="1015"/>
      <c r="F7" s="793"/>
      <c r="G7" s="793"/>
      <c r="H7" s="793"/>
      <c r="I7" s="793"/>
      <c r="J7" s="793"/>
      <c r="K7" s="793"/>
      <c r="L7" s="793"/>
      <c r="M7" s="793"/>
      <c r="N7" s="822"/>
      <c r="O7" s="822"/>
      <c r="P7" s="793"/>
      <c r="Q7" s="694"/>
      <c r="R7" s="822"/>
      <c r="S7" s="793"/>
      <c r="T7" s="1010"/>
      <c r="U7" s="1010"/>
      <c r="V7" s="1010"/>
      <c r="W7" s="1010"/>
      <c r="X7" s="1015"/>
    </row>
    <row r="8" spans="1:29" s="267" customFormat="1" ht="24.75" customHeight="1">
      <c r="A8" s="385"/>
      <c r="B8" s="385" t="s">
        <v>1023</v>
      </c>
      <c r="C8" s="389"/>
      <c r="D8" s="389"/>
      <c r="E8" s="387"/>
      <c r="F8" s="387" t="s">
        <v>1297</v>
      </c>
      <c r="G8" s="387" t="s">
        <v>1300</v>
      </c>
      <c r="H8" s="387" t="s">
        <v>1301</v>
      </c>
      <c r="I8" s="387" t="s">
        <v>1232</v>
      </c>
      <c r="J8" s="387">
        <v>4.0099999999999997E-2</v>
      </c>
      <c r="K8" s="387">
        <v>4.0500000000000001E-2</v>
      </c>
      <c r="L8" s="387" t="s">
        <v>1298</v>
      </c>
      <c r="M8" s="387">
        <v>5.0299999999999997E-2</v>
      </c>
      <c r="N8" s="387" t="s">
        <v>1338</v>
      </c>
      <c r="O8" s="387" t="s">
        <v>1340</v>
      </c>
      <c r="P8" s="387" t="s">
        <v>1308</v>
      </c>
      <c r="Q8" s="387" t="s">
        <v>1299</v>
      </c>
      <c r="R8" s="387" t="s">
        <v>1339</v>
      </c>
      <c r="S8" s="387" t="s">
        <v>1292</v>
      </c>
      <c r="T8" s="387" t="s">
        <v>1246</v>
      </c>
      <c r="U8" s="387" t="s">
        <v>1293</v>
      </c>
      <c r="V8" s="387" t="s">
        <v>1295</v>
      </c>
      <c r="W8" s="387" t="s">
        <v>1296</v>
      </c>
      <c r="X8" s="264" t="s">
        <v>678</v>
      </c>
      <c r="Y8" s="386"/>
      <c r="Z8" s="366"/>
    </row>
    <row r="9" spans="1:29" ht="62.25" customHeight="1">
      <c r="A9" s="409" t="s">
        <v>1037</v>
      </c>
      <c r="B9" s="409" t="s">
        <v>1038</v>
      </c>
      <c r="C9" s="695"/>
      <c r="D9" s="1016" t="s">
        <v>374</v>
      </c>
      <c r="E9" s="1017"/>
      <c r="F9" s="795" t="s">
        <v>97</v>
      </c>
      <c r="G9" s="795" t="s">
        <v>1107</v>
      </c>
      <c r="H9" s="795" t="s">
        <v>1302</v>
      </c>
      <c r="I9" s="795" t="s">
        <v>1075</v>
      </c>
      <c r="J9" s="795" t="s">
        <v>1303</v>
      </c>
      <c r="K9" s="795" t="s">
        <v>1304</v>
      </c>
      <c r="L9" s="795" t="s">
        <v>1305</v>
      </c>
      <c r="M9" s="795" t="s">
        <v>1306</v>
      </c>
      <c r="N9" s="824" t="s">
        <v>902</v>
      </c>
      <c r="O9" s="824" t="s">
        <v>1341</v>
      </c>
      <c r="P9" s="795" t="s">
        <v>1309</v>
      </c>
      <c r="Q9" s="384" t="s">
        <v>106</v>
      </c>
      <c r="R9" s="824" t="s">
        <v>125</v>
      </c>
      <c r="S9" s="283" t="s">
        <v>578</v>
      </c>
      <c r="T9" s="283" t="s">
        <v>1034</v>
      </c>
      <c r="U9" s="283" t="s">
        <v>605</v>
      </c>
      <c r="V9" s="283" t="s">
        <v>1294</v>
      </c>
      <c r="W9" s="283" t="s">
        <v>612</v>
      </c>
      <c r="X9" s="283" t="s">
        <v>682</v>
      </c>
      <c r="Y9" s="283" t="s">
        <v>24</v>
      </c>
    </row>
    <row r="10" spans="1:29" ht="19.5" customHeight="1">
      <c r="A10" s="697"/>
      <c r="B10" s="383"/>
      <c r="C10" s="695"/>
      <c r="D10" s="695"/>
      <c r="E10" s="698"/>
      <c r="F10" s="851">
        <f t="shared" ref="F10:O10" si="0">SUM(F11:F55)</f>
        <v>0</v>
      </c>
      <c r="G10" s="851">
        <f t="shared" si="0"/>
        <v>0</v>
      </c>
      <c r="H10" s="851">
        <f t="shared" si="0"/>
        <v>0</v>
      </c>
      <c r="I10" s="851">
        <f t="shared" si="0"/>
        <v>0</v>
      </c>
      <c r="J10" s="851">
        <f t="shared" si="0"/>
        <v>0</v>
      </c>
      <c r="K10" s="851">
        <f t="shared" si="0"/>
        <v>0</v>
      </c>
      <c r="L10" s="851">
        <f t="shared" si="0"/>
        <v>0</v>
      </c>
      <c r="M10" s="851">
        <f t="shared" si="0"/>
        <v>0</v>
      </c>
      <c r="N10" s="851">
        <f t="shared" si="0"/>
        <v>0</v>
      </c>
      <c r="O10" s="316">
        <f t="shared" si="0"/>
        <v>2892822.73</v>
      </c>
      <c r="P10" s="809">
        <f>+P55</f>
        <v>8085227.21</v>
      </c>
      <c r="Q10" s="316">
        <f>SUM(Q11:Q55)</f>
        <v>0</v>
      </c>
      <c r="R10" s="809">
        <f>SUM(R11:R48)</f>
        <v>87709695.349681482</v>
      </c>
      <c r="S10" s="316">
        <f>SUM(S11:S55)</f>
        <v>9602850.3800000008</v>
      </c>
      <c r="T10" s="316">
        <f>SUM(T11:T55)</f>
        <v>371949664.08217031</v>
      </c>
      <c r="U10" s="316">
        <f>SUM(U11:U55)</f>
        <v>5048009.3600000003</v>
      </c>
      <c r="V10" s="316">
        <f>SUM(V11:V55)</f>
        <v>2888850.2199999997</v>
      </c>
      <c r="W10" s="316">
        <f>SUM(W11:W55)</f>
        <v>3107361.2199999997</v>
      </c>
      <c r="X10" s="316">
        <f>SUM(X11:X53)</f>
        <v>702069268.14814818</v>
      </c>
      <c r="Y10" s="316">
        <f>SUM(O10:X10)</f>
        <v>1193353748.7</v>
      </c>
      <c r="Z10" s="266">
        <f>+Y10-Y53-Y54-Y55</f>
        <v>1184118521.49</v>
      </c>
      <c r="AA10" s="548"/>
    </row>
    <row r="11" spans="1:29" ht="15.75" customHeight="1">
      <c r="A11" s="700" t="s">
        <v>359</v>
      </c>
      <c r="B11" s="701">
        <v>2</v>
      </c>
      <c r="C11" s="875" t="s">
        <v>1239</v>
      </c>
      <c r="D11" s="875" t="s">
        <v>1241</v>
      </c>
      <c r="E11" s="875" t="s">
        <v>1263</v>
      </c>
      <c r="F11" s="799"/>
      <c r="G11" s="799"/>
      <c r="H11" s="799"/>
      <c r="I11" s="799"/>
      <c r="J11" s="799"/>
      <c r="K11" s="799"/>
      <c r="L11" s="799"/>
      <c r="M11" s="799"/>
      <c r="N11" s="832"/>
      <c r="O11" s="878">
        <v>2067436.96</v>
      </c>
      <c r="P11" s="799"/>
      <c r="Q11" s="699"/>
      <c r="R11" s="877" t="str">
        <f>+[10]Proyectos!I2</f>
        <v/>
      </c>
      <c r="S11" s="878">
        <v>7222125.5300000003</v>
      </c>
      <c r="T11" s="832">
        <f>+[10]Proyectos!J2</f>
        <v>68051887.400000006</v>
      </c>
      <c r="U11" s="878">
        <v>3301543.1</v>
      </c>
      <c r="V11" s="878">
        <v>2063464.44</v>
      </c>
      <c r="W11" s="878">
        <v>2293542.5699999998</v>
      </c>
      <c r="X11" s="835" t="str">
        <f>+[10]Proyectos!P2</f>
        <v/>
      </c>
      <c r="Y11" s="268">
        <f t="shared" ref="Y11:Y16" si="1">SUM(F11:X11)</f>
        <v>84999999.999999985</v>
      </c>
      <c r="Z11" s="266">
        <f>+'Ingreso Interno'!C102-'Distribucion Programas III UTGV'!C9</f>
        <v>1184118521.493187</v>
      </c>
      <c r="AA11" s="266"/>
      <c r="AB11" s="266"/>
      <c r="AC11" s="266"/>
    </row>
    <row r="12" spans="1:29" ht="15.75" customHeight="1">
      <c r="A12" s="700" t="s">
        <v>359</v>
      </c>
      <c r="B12" s="701">
        <f>+B11+1</f>
        <v>3</v>
      </c>
      <c r="C12" s="875" t="s">
        <v>1329</v>
      </c>
      <c r="D12" s="875" t="s">
        <v>1241</v>
      </c>
      <c r="E12" s="875" t="s">
        <v>1330</v>
      </c>
      <c r="F12" s="800"/>
      <c r="G12" s="800"/>
      <c r="H12" s="800"/>
      <c r="I12" s="800"/>
      <c r="J12" s="800"/>
      <c r="K12" s="800"/>
      <c r="L12" s="800"/>
      <c r="M12" s="800"/>
      <c r="N12" s="832"/>
      <c r="O12" s="880"/>
      <c r="P12" s="800"/>
      <c r="Q12" s="699"/>
      <c r="R12" s="877" t="str">
        <f>+[10]Proyectos!I3</f>
        <v/>
      </c>
      <c r="S12" s="879"/>
      <c r="T12" s="832" t="str">
        <f>+[10]Proyectos!J3</f>
        <v/>
      </c>
      <c r="U12" s="879"/>
      <c r="V12" s="879"/>
      <c r="W12" s="880"/>
      <c r="X12" s="835">
        <f>+[10]Proyectos!P3</f>
        <v>42500000</v>
      </c>
      <c r="Y12" s="268">
        <f t="shared" si="1"/>
        <v>42500000</v>
      </c>
      <c r="AA12" s="266"/>
      <c r="AB12" s="266"/>
      <c r="AC12" s="266"/>
    </row>
    <row r="13" spans="1:29" ht="15.75" customHeight="1">
      <c r="A13" s="700" t="s">
        <v>359</v>
      </c>
      <c r="B13" s="701">
        <f t="shared" ref="B13:B27" si="2">+B12+1</f>
        <v>4</v>
      </c>
      <c r="C13" s="875" t="s">
        <v>1261</v>
      </c>
      <c r="D13" s="875" t="s">
        <v>1240</v>
      </c>
      <c r="E13" s="875" t="s">
        <v>1262</v>
      </c>
      <c r="F13" s="804"/>
      <c r="G13" s="804"/>
      <c r="H13" s="804"/>
      <c r="I13" s="804"/>
      <c r="J13" s="804"/>
      <c r="K13" s="804"/>
      <c r="L13" s="804"/>
      <c r="M13" s="804"/>
      <c r="N13" s="832"/>
      <c r="O13" s="880"/>
      <c r="P13" s="804"/>
      <c r="Q13" s="699"/>
      <c r="R13" s="877" t="str">
        <f>+[10]Proyectos!I4</f>
        <v/>
      </c>
      <c r="S13" s="879"/>
      <c r="T13" s="832" t="str">
        <f>+[10]Proyectos!J4</f>
        <v/>
      </c>
      <c r="U13" s="879"/>
      <c r="V13" s="879"/>
      <c r="W13" s="880"/>
      <c r="X13" s="835">
        <f>+[10]Proyectos!P4</f>
        <v>30000000</v>
      </c>
      <c r="Y13" s="268">
        <f t="shared" si="1"/>
        <v>30000000</v>
      </c>
      <c r="AA13" s="266"/>
      <c r="AB13" s="266"/>
      <c r="AC13" s="266"/>
    </row>
    <row r="14" spans="1:29" ht="15.75" customHeight="1">
      <c r="A14" s="700" t="s">
        <v>359</v>
      </c>
      <c r="B14" s="701">
        <f>+B13+1</f>
        <v>5</v>
      </c>
      <c r="C14" s="875" t="s">
        <v>1238</v>
      </c>
      <c r="D14" s="875" t="s">
        <v>1363</v>
      </c>
      <c r="E14" s="875" t="s">
        <v>1364</v>
      </c>
      <c r="F14" s="804"/>
      <c r="G14" s="804"/>
      <c r="H14" s="804"/>
      <c r="I14" s="804"/>
      <c r="J14" s="804"/>
      <c r="K14" s="804"/>
      <c r="L14" s="804"/>
      <c r="M14" s="804"/>
      <c r="N14" s="832"/>
      <c r="O14" s="880"/>
      <c r="P14" s="804"/>
      <c r="Q14" s="699"/>
      <c r="R14" s="877" t="str">
        <f>+[10]Proyectos!I5</f>
        <v/>
      </c>
      <c r="S14" s="879"/>
      <c r="T14" s="832" t="str">
        <f>+[10]Proyectos!J5</f>
        <v/>
      </c>
      <c r="U14" s="879"/>
      <c r="V14" s="879"/>
      <c r="W14" s="880"/>
      <c r="X14" s="835">
        <f>+[10]Proyectos!P5</f>
        <v>54000000</v>
      </c>
      <c r="Y14" s="268">
        <f t="shared" si="1"/>
        <v>54000000</v>
      </c>
      <c r="AA14" s="266"/>
      <c r="AB14" s="266"/>
      <c r="AC14" s="266"/>
    </row>
    <row r="15" spans="1:29" ht="24.75" customHeight="1">
      <c r="A15" s="700" t="s">
        <v>359</v>
      </c>
      <c r="B15" s="701">
        <f t="shared" si="2"/>
        <v>6</v>
      </c>
      <c r="C15" s="875" t="s">
        <v>1334</v>
      </c>
      <c r="D15" s="875" t="s">
        <v>1240</v>
      </c>
      <c r="E15" s="875" t="s">
        <v>1335</v>
      </c>
      <c r="F15" s="804"/>
      <c r="G15" s="804"/>
      <c r="H15" s="804"/>
      <c r="I15" s="804"/>
      <c r="J15" s="804"/>
      <c r="K15" s="804"/>
      <c r="L15" s="804"/>
      <c r="M15" s="804"/>
      <c r="N15" s="832"/>
      <c r="O15" s="878">
        <v>825385.77</v>
      </c>
      <c r="P15" s="804"/>
      <c r="Q15" s="699"/>
      <c r="R15" s="877" t="str">
        <f>+[10]Proyectos!I6</f>
        <v/>
      </c>
      <c r="S15" s="878">
        <v>2380724.85</v>
      </c>
      <c r="T15" s="832">
        <f>+[10]Proyectos!J6</f>
        <v>27408218.690000001</v>
      </c>
      <c r="U15" s="878">
        <v>1746466.26</v>
      </c>
      <c r="V15" s="878">
        <v>825385.78</v>
      </c>
      <c r="W15" s="878">
        <v>813818.65</v>
      </c>
      <c r="X15" s="835" t="str">
        <f>+[10]Proyectos!P6</f>
        <v/>
      </c>
      <c r="Y15" s="268">
        <f t="shared" si="1"/>
        <v>34000000.000000007</v>
      </c>
      <c r="AA15" s="266"/>
      <c r="AB15" s="266"/>
      <c r="AC15" s="266"/>
    </row>
    <row r="16" spans="1:29" ht="15.75" customHeight="1">
      <c r="A16" s="700" t="s">
        <v>359</v>
      </c>
      <c r="B16" s="701">
        <f t="shared" si="2"/>
        <v>7</v>
      </c>
      <c r="C16" s="875" t="s">
        <v>1365</v>
      </c>
      <c r="D16" s="875" t="s">
        <v>1241</v>
      </c>
      <c r="E16" s="875" t="s">
        <v>1366</v>
      </c>
      <c r="F16" s="829"/>
      <c r="G16" s="804"/>
      <c r="H16" s="804"/>
      <c r="I16" s="804"/>
      <c r="J16" s="804"/>
      <c r="K16" s="804"/>
      <c r="L16" s="804"/>
      <c r="M16" s="804"/>
      <c r="N16" s="832"/>
      <c r="O16" s="832"/>
      <c r="P16" s="804"/>
      <c r="Q16" s="699"/>
      <c r="R16" s="877" t="str">
        <f>+[10]Proyectos!I7</f>
        <v/>
      </c>
      <c r="S16" s="832"/>
      <c r="T16" s="832" t="str">
        <f>+[10]Proyectos!J7</f>
        <v/>
      </c>
      <c r="U16" s="799"/>
      <c r="V16" s="799"/>
      <c r="W16" s="799"/>
      <c r="X16" s="835">
        <f>+[10]Proyectos!P7</f>
        <v>5000000</v>
      </c>
      <c r="Y16" s="268">
        <f t="shared" si="1"/>
        <v>5000000</v>
      </c>
      <c r="AA16" s="266"/>
      <c r="AB16" s="266"/>
      <c r="AC16" s="266"/>
    </row>
    <row r="17" spans="1:29" ht="15.75" customHeight="1">
      <c r="A17" s="700" t="s">
        <v>359</v>
      </c>
      <c r="B17" s="701">
        <f t="shared" si="2"/>
        <v>8</v>
      </c>
      <c r="C17" s="875" t="s">
        <v>1336</v>
      </c>
      <c r="D17" s="875" t="s">
        <v>1240</v>
      </c>
      <c r="E17" s="875" t="s">
        <v>1337</v>
      </c>
      <c r="F17" s="840"/>
      <c r="G17" s="841"/>
      <c r="H17" s="841"/>
      <c r="I17" s="841"/>
      <c r="J17" s="841"/>
      <c r="K17" s="841"/>
      <c r="L17" s="841"/>
      <c r="M17" s="841"/>
      <c r="N17" s="842"/>
      <c r="O17" s="842"/>
      <c r="P17" s="841"/>
      <c r="Q17" s="699"/>
      <c r="R17" s="877" t="str">
        <f>+[10]Proyectos!I8</f>
        <v/>
      </c>
      <c r="S17" s="842"/>
      <c r="T17" s="832" t="str">
        <f>+[10]Proyectos!J8</f>
        <v/>
      </c>
      <c r="U17" s="843"/>
      <c r="V17" s="843"/>
      <c r="W17" s="843"/>
      <c r="X17" s="835">
        <f>+[10]Proyectos!P8</f>
        <v>20000000</v>
      </c>
      <c r="Y17" s="268">
        <f>SUM(F17:X17)</f>
        <v>20000000</v>
      </c>
      <c r="AA17" s="266"/>
      <c r="AB17" s="266"/>
      <c r="AC17" s="266"/>
    </row>
    <row r="18" spans="1:29" ht="15.75" customHeight="1">
      <c r="A18" s="700" t="s">
        <v>359</v>
      </c>
      <c r="B18" s="701">
        <f t="shared" si="2"/>
        <v>9</v>
      </c>
      <c r="C18" s="875" t="s">
        <v>1367</v>
      </c>
      <c r="D18" s="875" t="s">
        <v>1240</v>
      </c>
      <c r="E18" s="875" t="s">
        <v>1368</v>
      </c>
      <c r="F18" s="830"/>
      <c r="G18" s="801"/>
      <c r="H18" s="801"/>
      <c r="I18" s="801"/>
      <c r="J18" s="801"/>
      <c r="K18" s="801"/>
      <c r="L18" s="801"/>
      <c r="M18" s="801"/>
      <c r="N18" s="833"/>
      <c r="O18" s="836"/>
      <c r="P18" s="801"/>
      <c r="Q18" s="699"/>
      <c r="R18" s="877" t="str">
        <f>+[10]Proyectos!I9</f>
        <v/>
      </c>
      <c r="S18" s="833"/>
      <c r="T18" s="832" t="str">
        <f>+[10]Proyectos!J9</f>
        <v/>
      </c>
      <c r="U18" s="799"/>
      <c r="V18" s="799"/>
      <c r="W18" s="799"/>
      <c r="X18" s="835">
        <f>+[10]Proyectos!P9</f>
        <v>28900000</v>
      </c>
      <c r="Y18" s="268">
        <f t="shared" ref="Y18:Y48" si="3">SUM(F18:X18)</f>
        <v>28900000</v>
      </c>
      <c r="AA18" s="266"/>
      <c r="AB18" s="266"/>
      <c r="AC18" s="266"/>
    </row>
    <row r="19" spans="1:29" ht="15.75" customHeight="1">
      <c r="A19" s="700" t="s">
        <v>359</v>
      </c>
      <c r="B19" s="701">
        <f t="shared" si="2"/>
        <v>10</v>
      </c>
      <c r="C19" s="875" t="s">
        <v>1369</v>
      </c>
      <c r="D19" s="875" t="s">
        <v>1240</v>
      </c>
      <c r="E19" s="875" t="s">
        <v>1370</v>
      </c>
      <c r="F19" s="831"/>
      <c r="G19" s="802"/>
      <c r="H19" s="802"/>
      <c r="I19" s="802"/>
      <c r="J19" s="802"/>
      <c r="K19" s="802"/>
      <c r="L19" s="802"/>
      <c r="M19" s="802"/>
      <c r="N19" s="832"/>
      <c r="O19" s="832"/>
      <c r="P19" s="802"/>
      <c r="Q19" s="699"/>
      <c r="R19" s="877" t="str">
        <f>+[10]Proyectos!I10</f>
        <v/>
      </c>
      <c r="S19" s="832"/>
      <c r="T19" s="832" t="str">
        <f>+[10]Proyectos!J10</f>
        <v/>
      </c>
      <c r="U19" s="799"/>
      <c r="V19" s="799"/>
      <c r="W19" s="799"/>
      <c r="X19" s="835">
        <f>+[10]Proyectos!P10</f>
        <v>25000000</v>
      </c>
      <c r="Y19" s="268">
        <f t="shared" si="3"/>
        <v>25000000</v>
      </c>
      <c r="AA19" s="266"/>
      <c r="AB19" s="266"/>
      <c r="AC19" s="266"/>
    </row>
    <row r="20" spans="1:29" ht="15.75" customHeight="1">
      <c r="A20" s="700" t="s">
        <v>359</v>
      </c>
      <c r="B20" s="701">
        <f t="shared" si="2"/>
        <v>11</v>
      </c>
      <c r="C20" s="875" t="s">
        <v>1371</v>
      </c>
      <c r="D20" s="875" t="s">
        <v>1240</v>
      </c>
      <c r="E20" s="875" t="s">
        <v>1372</v>
      </c>
      <c r="F20" s="802"/>
      <c r="G20" s="802"/>
      <c r="H20" s="802"/>
      <c r="I20" s="802"/>
      <c r="J20" s="802"/>
      <c r="K20" s="802"/>
      <c r="L20" s="802"/>
      <c r="M20" s="802"/>
      <c r="N20" s="834"/>
      <c r="O20" s="834"/>
      <c r="P20" s="802"/>
      <c r="Q20" s="699"/>
      <c r="R20" s="877" t="str">
        <f>+[10]Proyectos!I11</f>
        <v/>
      </c>
      <c r="S20" s="834"/>
      <c r="T20" s="832" t="str">
        <f>+[10]Proyectos!J11</f>
        <v/>
      </c>
      <c r="U20" s="799"/>
      <c r="V20" s="799"/>
      <c r="W20" s="799"/>
      <c r="X20" s="835">
        <f>+[10]Proyectos!P11</f>
        <v>25000000</v>
      </c>
      <c r="Y20" s="268">
        <f t="shared" si="3"/>
        <v>25000000</v>
      </c>
      <c r="AA20" s="266"/>
      <c r="AB20" s="266"/>
      <c r="AC20" s="266"/>
    </row>
    <row r="21" spans="1:29" ht="15.75" customHeight="1">
      <c r="A21" s="700" t="s">
        <v>359</v>
      </c>
      <c r="B21" s="701">
        <f t="shared" si="2"/>
        <v>12</v>
      </c>
      <c r="C21" s="875" t="s">
        <v>1373</v>
      </c>
      <c r="D21" s="875" t="s">
        <v>1240</v>
      </c>
      <c r="E21" s="875" t="s">
        <v>1374</v>
      </c>
      <c r="F21" s="802"/>
      <c r="G21" s="802"/>
      <c r="H21" s="802"/>
      <c r="I21" s="802"/>
      <c r="J21" s="802"/>
      <c r="K21" s="802"/>
      <c r="L21" s="802"/>
      <c r="M21" s="802"/>
      <c r="N21" s="832"/>
      <c r="O21" s="832"/>
      <c r="P21" s="802"/>
      <c r="Q21" s="699"/>
      <c r="R21" s="877" t="str">
        <f>+[10]Proyectos!I12</f>
        <v/>
      </c>
      <c r="S21" s="832"/>
      <c r="T21" s="832" t="str">
        <f>+[10]Proyectos!J12</f>
        <v/>
      </c>
      <c r="U21" s="799"/>
      <c r="V21" s="799"/>
      <c r="W21" s="799"/>
      <c r="X21" s="835">
        <f>+[10]Proyectos!P12</f>
        <v>28700000</v>
      </c>
      <c r="Y21" s="268">
        <f t="shared" si="3"/>
        <v>28700000</v>
      </c>
      <c r="AA21" s="266"/>
      <c r="AB21" s="266"/>
      <c r="AC21" s="266"/>
    </row>
    <row r="22" spans="1:29" ht="15.75" customHeight="1">
      <c r="A22" s="700" t="s">
        <v>359</v>
      </c>
      <c r="B22" s="701">
        <f t="shared" si="2"/>
        <v>13</v>
      </c>
      <c r="C22" s="875" t="s">
        <v>1375</v>
      </c>
      <c r="D22" s="875" t="s">
        <v>1240</v>
      </c>
      <c r="E22" s="875" t="s">
        <v>1376</v>
      </c>
      <c r="F22" s="804"/>
      <c r="G22" s="804"/>
      <c r="H22" s="804"/>
      <c r="I22" s="804"/>
      <c r="J22" s="804"/>
      <c r="K22" s="804"/>
      <c r="L22" s="804"/>
      <c r="M22" s="804"/>
      <c r="N22" s="832"/>
      <c r="O22" s="832"/>
      <c r="P22" s="804"/>
      <c r="Q22" s="699"/>
      <c r="R22" s="877">
        <f>+[10]Proyectos!I13</f>
        <v>1010444.4444444445</v>
      </c>
      <c r="S22" s="832"/>
      <c r="T22" s="832">
        <f>+[10]Proyectos!J13</f>
        <v>3489555.5555555555</v>
      </c>
      <c r="U22" s="799"/>
      <c r="V22" s="799"/>
      <c r="W22" s="799"/>
      <c r="X22" s="835" t="str">
        <f>+[10]Proyectos!P13</f>
        <v/>
      </c>
      <c r="Y22" s="268">
        <f t="shared" si="3"/>
        <v>4500000</v>
      </c>
      <c r="AA22" s="266"/>
      <c r="AB22" s="266"/>
      <c r="AC22" s="266"/>
    </row>
    <row r="23" spans="1:29" ht="24.75" customHeight="1">
      <c r="A23" s="700" t="s">
        <v>359</v>
      </c>
      <c r="B23" s="701">
        <f t="shared" si="2"/>
        <v>14</v>
      </c>
      <c r="C23" s="875" t="s">
        <v>1290</v>
      </c>
      <c r="D23" s="875" t="s">
        <v>1257</v>
      </c>
      <c r="E23" s="875" t="s">
        <v>1291</v>
      </c>
      <c r="F23" s="802"/>
      <c r="G23" s="802"/>
      <c r="H23" s="802"/>
      <c r="I23" s="802"/>
      <c r="J23" s="802"/>
      <c r="K23" s="802"/>
      <c r="L23" s="802"/>
      <c r="M23" s="802"/>
      <c r="N23" s="832"/>
      <c r="O23" s="832"/>
      <c r="P23" s="802"/>
      <c r="Q23" s="699"/>
      <c r="R23" s="877">
        <f>+[10]Proyectos!I14</f>
        <v>3462731.8518518526</v>
      </c>
      <c r="S23" s="832"/>
      <c r="T23" s="832">
        <f>+[10]Proyectos!J14</f>
        <v>17568000</v>
      </c>
      <c r="U23" s="799"/>
      <c r="V23" s="799"/>
      <c r="W23" s="799"/>
      <c r="X23" s="835">
        <f>+[10]Proyectos!P14</f>
        <v>78969268.148148149</v>
      </c>
      <c r="Y23" s="268">
        <f t="shared" si="3"/>
        <v>100000000</v>
      </c>
      <c r="AA23" s="266"/>
      <c r="AB23" s="266"/>
      <c r="AC23" s="266"/>
    </row>
    <row r="24" spans="1:29" ht="15.75" customHeight="1">
      <c r="A24" s="700" t="s">
        <v>359</v>
      </c>
      <c r="B24" s="701">
        <f t="shared" si="2"/>
        <v>15</v>
      </c>
      <c r="C24" s="875" t="s">
        <v>1236</v>
      </c>
      <c r="D24" s="875" t="s">
        <v>1242</v>
      </c>
      <c r="E24" s="875" t="s">
        <v>1260</v>
      </c>
      <c r="F24" s="804"/>
      <c r="G24" s="804"/>
      <c r="H24" s="804"/>
      <c r="I24" s="804"/>
      <c r="J24" s="804"/>
      <c r="K24" s="804"/>
      <c r="L24" s="804"/>
      <c r="M24" s="804"/>
      <c r="N24" s="832"/>
      <c r="O24" s="832"/>
      <c r="P24" s="804"/>
      <c r="Q24" s="699"/>
      <c r="R24" s="877" t="str">
        <f>+[10]Proyectos!I15</f>
        <v/>
      </c>
      <c r="S24" s="832"/>
      <c r="T24" s="832" t="str">
        <f>+[10]Proyectos!J15</f>
        <v/>
      </c>
      <c r="U24" s="799"/>
      <c r="V24" s="799"/>
      <c r="W24" s="799"/>
      <c r="X24" s="835">
        <f>+[10]Proyectos!P15</f>
        <v>70000000</v>
      </c>
      <c r="Y24" s="268">
        <f t="shared" si="3"/>
        <v>70000000</v>
      </c>
      <c r="AA24" s="266"/>
      <c r="AB24" s="266"/>
      <c r="AC24" s="266"/>
    </row>
    <row r="25" spans="1:29" ht="15.75" customHeight="1">
      <c r="A25" s="700" t="s">
        <v>359</v>
      </c>
      <c r="B25" s="701">
        <f t="shared" si="2"/>
        <v>16</v>
      </c>
      <c r="C25" s="875" t="s">
        <v>1377</v>
      </c>
      <c r="D25" s="875" t="s">
        <v>1378</v>
      </c>
      <c r="E25" s="875" t="s">
        <v>1379</v>
      </c>
      <c r="F25" s="808"/>
      <c r="G25" s="808"/>
      <c r="H25" s="808"/>
      <c r="I25" s="808"/>
      <c r="J25" s="808"/>
      <c r="K25" s="808"/>
      <c r="L25" s="808"/>
      <c r="M25" s="808"/>
      <c r="N25" s="832"/>
      <c r="O25" s="832"/>
      <c r="P25" s="808"/>
      <c r="Q25" s="808"/>
      <c r="R25" s="877">
        <f>+[10]Proyectos!I16</f>
        <v>4598740.7407407407</v>
      </c>
      <c r="S25" s="832"/>
      <c r="T25" s="832">
        <f>+[10]Proyectos!J16</f>
        <v>7401259.2592592593</v>
      </c>
      <c r="U25" s="806"/>
      <c r="V25" s="806"/>
      <c r="W25" s="806"/>
      <c r="X25" s="835" t="str">
        <f>+[10]Proyectos!P16</f>
        <v/>
      </c>
      <c r="Y25" s="268">
        <f t="shared" si="3"/>
        <v>12000000</v>
      </c>
      <c r="AA25" s="266"/>
      <c r="AB25" s="266"/>
      <c r="AC25" s="266"/>
    </row>
    <row r="26" spans="1:29" ht="27.75" customHeight="1">
      <c r="A26" s="700" t="s">
        <v>359</v>
      </c>
      <c r="B26" s="701">
        <f t="shared" si="2"/>
        <v>17</v>
      </c>
      <c r="C26" s="875" t="s">
        <v>1380</v>
      </c>
      <c r="D26" s="875" t="s">
        <v>1381</v>
      </c>
      <c r="E26" s="875" t="s">
        <v>1382</v>
      </c>
      <c r="F26" s="805"/>
      <c r="G26" s="805"/>
      <c r="H26" s="805"/>
      <c r="I26" s="805"/>
      <c r="J26" s="805"/>
      <c r="K26" s="805"/>
      <c r="L26" s="805"/>
      <c r="M26" s="805"/>
      <c r="N26" s="832"/>
      <c r="O26" s="832"/>
      <c r="P26" s="805"/>
      <c r="Q26" s="756"/>
      <c r="R26" s="877">
        <f>+[10]Proyectos!I17</f>
        <v>19403629.629629631</v>
      </c>
      <c r="S26" s="832"/>
      <c r="T26" s="832">
        <f>+[10]Proyectos!J17</f>
        <v>62596370.370370373</v>
      </c>
      <c r="U26" s="799"/>
      <c r="V26" s="799"/>
      <c r="W26" s="799"/>
      <c r="X26" s="835" t="str">
        <f>+[10]Proyectos!P17</f>
        <v/>
      </c>
      <c r="Y26" s="268">
        <f t="shared" si="3"/>
        <v>82000000</v>
      </c>
      <c r="AA26" s="266"/>
      <c r="AB26" s="266"/>
      <c r="AC26" s="266"/>
    </row>
    <row r="27" spans="1:29" ht="21.75" customHeight="1">
      <c r="A27" s="700" t="s">
        <v>359</v>
      </c>
      <c r="B27" s="701">
        <f t="shared" si="2"/>
        <v>18</v>
      </c>
      <c r="C27" s="875" t="s">
        <v>1383</v>
      </c>
      <c r="D27" s="875" t="s">
        <v>1384</v>
      </c>
      <c r="E27" s="875" t="s">
        <v>1385</v>
      </c>
      <c r="F27" s="802"/>
      <c r="G27" s="802"/>
      <c r="H27" s="802"/>
      <c r="I27" s="802"/>
      <c r="J27" s="802"/>
      <c r="K27" s="802"/>
      <c r="L27" s="802"/>
      <c r="M27" s="802"/>
      <c r="N27" s="832"/>
      <c r="O27" s="832"/>
      <c r="P27" s="802"/>
      <c r="Q27" s="756"/>
      <c r="R27" s="877">
        <f>+[10]Proyectos!I18</f>
        <v>4568814.8148148144</v>
      </c>
      <c r="S27" s="832"/>
      <c r="T27" s="832">
        <f>+[10]Proyectos!J18</f>
        <v>15431185.185185187</v>
      </c>
      <c r="U27" s="799"/>
      <c r="V27" s="799"/>
      <c r="W27" s="799"/>
      <c r="X27" s="835" t="str">
        <f>+[10]Proyectos!P18</f>
        <v/>
      </c>
      <c r="Y27" s="268">
        <f t="shared" si="3"/>
        <v>20000000</v>
      </c>
      <c r="AA27" s="266"/>
      <c r="AB27" s="266"/>
      <c r="AC27" s="266"/>
    </row>
    <row r="28" spans="1:29" ht="15.75" customHeight="1">
      <c r="A28" s="700" t="s">
        <v>359</v>
      </c>
      <c r="B28" s="701">
        <f>+B27+1</f>
        <v>19</v>
      </c>
      <c r="C28" s="875" t="s">
        <v>1237</v>
      </c>
      <c r="D28" s="875" t="s">
        <v>1242</v>
      </c>
      <c r="E28" s="875" t="s">
        <v>1258</v>
      </c>
      <c r="F28" s="804"/>
      <c r="G28" s="804"/>
      <c r="H28" s="804"/>
      <c r="I28" s="804"/>
      <c r="J28" s="804"/>
      <c r="K28" s="804"/>
      <c r="L28" s="804"/>
      <c r="M28" s="804"/>
      <c r="N28" s="832"/>
      <c r="O28" s="832"/>
      <c r="P28" s="804"/>
      <c r="Q28" s="756"/>
      <c r="R28" s="877" t="str">
        <f>+[10]Proyectos!I19</f>
        <v/>
      </c>
      <c r="S28" s="832"/>
      <c r="T28" s="832" t="str">
        <f>+[10]Proyectos!J19</f>
        <v/>
      </c>
      <c r="U28" s="799"/>
      <c r="V28" s="799"/>
      <c r="W28" s="799"/>
      <c r="X28" s="835">
        <f>+[10]Proyectos!P19</f>
        <v>126000000</v>
      </c>
      <c r="Y28" s="268">
        <f t="shared" si="3"/>
        <v>126000000</v>
      </c>
      <c r="AA28" s="266"/>
      <c r="AB28" s="266"/>
      <c r="AC28" s="266"/>
    </row>
    <row r="29" spans="1:29" ht="15.75" customHeight="1">
      <c r="A29" s="700" t="s">
        <v>359</v>
      </c>
      <c r="B29" s="701">
        <f t="shared" ref="B29:B48" si="4">+B28+1</f>
        <v>20</v>
      </c>
      <c r="C29" s="875" t="s">
        <v>1386</v>
      </c>
      <c r="D29" s="875" t="s">
        <v>1387</v>
      </c>
      <c r="E29" s="875" t="s">
        <v>1388</v>
      </c>
      <c r="F29" s="802"/>
      <c r="G29" s="802"/>
      <c r="H29" s="802"/>
      <c r="I29" s="802"/>
      <c r="J29" s="802"/>
      <c r="K29" s="802"/>
      <c r="L29" s="802"/>
      <c r="M29" s="802"/>
      <c r="N29" s="833"/>
      <c r="O29" s="833"/>
      <c r="P29" s="802"/>
      <c r="Q29" s="756"/>
      <c r="R29" s="877">
        <f>+[10]Proyectos!I20</f>
        <v>3724666.666666667</v>
      </c>
      <c r="S29" s="833"/>
      <c r="T29" s="832">
        <f>+[10]Proyectos!J20</f>
        <v>5275333.333333333</v>
      </c>
      <c r="U29" s="799"/>
      <c r="V29" s="799"/>
      <c r="W29" s="799"/>
      <c r="X29" s="835" t="str">
        <f>+[10]Proyectos!P20</f>
        <v/>
      </c>
      <c r="Y29" s="268">
        <f t="shared" si="3"/>
        <v>9000000</v>
      </c>
      <c r="AA29" s="266"/>
      <c r="AB29" s="266"/>
      <c r="AC29" s="266"/>
    </row>
    <row r="30" spans="1:29" ht="15.75" customHeight="1">
      <c r="A30" s="700" t="s">
        <v>359</v>
      </c>
      <c r="B30" s="701">
        <f t="shared" si="4"/>
        <v>21</v>
      </c>
      <c r="C30" s="875" t="s">
        <v>1389</v>
      </c>
      <c r="D30" s="875" t="s">
        <v>1390</v>
      </c>
      <c r="E30" s="875" t="s">
        <v>1391</v>
      </c>
      <c r="F30" s="804"/>
      <c r="G30" s="804"/>
      <c r="H30" s="804"/>
      <c r="I30" s="804"/>
      <c r="J30" s="804"/>
      <c r="K30" s="804"/>
      <c r="L30" s="804"/>
      <c r="M30" s="804"/>
      <c r="N30" s="832"/>
      <c r="O30" s="832"/>
      <c r="P30" s="804"/>
      <c r="Q30" s="756"/>
      <c r="R30" s="877">
        <f>+[10]Proyectos!I21</f>
        <v>7738518.5185185187</v>
      </c>
      <c r="S30" s="832"/>
      <c r="T30" s="832">
        <f>+[10]Proyectos!J21</f>
        <v>22261481.481481481</v>
      </c>
      <c r="U30" s="799"/>
      <c r="V30" s="799"/>
      <c r="W30" s="799"/>
      <c r="X30" s="835" t="str">
        <f>+[10]Proyectos!P21</f>
        <v/>
      </c>
      <c r="Y30" s="268">
        <f t="shared" si="3"/>
        <v>30000000</v>
      </c>
      <c r="AA30" s="266"/>
      <c r="AB30" s="266"/>
      <c r="AC30" s="266"/>
    </row>
    <row r="31" spans="1:29" ht="15.75" customHeight="1">
      <c r="A31" s="700" t="s">
        <v>359</v>
      </c>
      <c r="B31" s="701">
        <f t="shared" si="4"/>
        <v>22</v>
      </c>
      <c r="C31" s="875" t="s">
        <v>1392</v>
      </c>
      <c r="D31" s="875" t="s">
        <v>1393</v>
      </c>
      <c r="E31" s="875" t="s">
        <v>1394</v>
      </c>
      <c r="F31" s="804"/>
      <c r="G31" s="804"/>
      <c r="H31" s="804"/>
      <c r="I31" s="804"/>
      <c r="J31" s="804"/>
      <c r="K31" s="804"/>
      <c r="L31" s="804"/>
      <c r="M31" s="804"/>
      <c r="N31" s="832"/>
      <c r="O31" s="832"/>
      <c r="P31" s="804"/>
      <c r="Q31" s="756"/>
      <c r="R31" s="877">
        <f>+[10]Proyectos!I22</f>
        <v>3143777.7777777775</v>
      </c>
      <c r="S31" s="832"/>
      <c r="T31" s="832">
        <f>+[10]Proyectos!J22</f>
        <v>4856222.222222222</v>
      </c>
      <c r="U31" s="799"/>
      <c r="V31" s="799"/>
      <c r="W31" s="799"/>
      <c r="X31" s="835" t="str">
        <f>+[10]Proyectos!P22</f>
        <v/>
      </c>
      <c r="Y31" s="268">
        <f t="shared" si="3"/>
        <v>8000000</v>
      </c>
      <c r="AA31" s="266"/>
      <c r="AB31" s="266"/>
      <c r="AC31" s="266"/>
    </row>
    <row r="32" spans="1:29" ht="15.75" customHeight="1">
      <c r="A32" s="700" t="s">
        <v>359</v>
      </c>
      <c r="B32" s="701">
        <f t="shared" si="4"/>
        <v>23</v>
      </c>
      <c r="C32" s="875" t="s">
        <v>1395</v>
      </c>
      <c r="D32" s="875" t="s">
        <v>1396</v>
      </c>
      <c r="E32" s="875" t="s">
        <v>1397</v>
      </c>
      <c r="F32" s="803"/>
      <c r="G32" s="803"/>
      <c r="H32" s="803"/>
      <c r="I32" s="803"/>
      <c r="J32" s="803"/>
      <c r="K32" s="803"/>
      <c r="L32" s="803"/>
      <c r="M32" s="803"/>
      <c r="N32" s="832"/>
      <c r="O32" s="832"/>
      <c r="P32" s="803"/>
      <c r="Q32" s="756"/>
      <c r="R32" s="877" t="str">
        <f>+[10]Proyectos!I23</f>
        <v/>
      </c>
      <c r="S32" s="832"/>
      <c r="T32" s="832" t="str">
        <f>+[10]Proyectos!J23</f>
        <v/>
      </c>
      <c r="U32" s="799"/>
      <c r="V32" s="799"/>
      <c r="W32" s="799"/>
      <c r="X32" s="835">
        <f>+[10]Proyectos!P23</f>
        <v>50000000</v>
      </c>
      <c r="Y32" s="268">
        <f t="shared" si="3"/>
        <v>50000000</v>
      </c>
      <c r="AA32" s="266"/>
      <c r="AB32" s="266"/>
      <c r="AC32" s="266"/>
    </row>
    <row r="33" spans="1:29" ht="15.75" customHeight="1">
      <c r="A33" s="700" t="s">
        <v>359</v>
      </c>
      <c r="B33" s="701">
        <f t="shared" si="4"/>
        <v>24</v>
      </c>
      <c r="C33" s="875" t="s">
        <v>1398</v>
      </c>
      <c r="D33" s="875" t="s">
        <v>1399</v>
      </c>
      <c r="E33" s="875" t="s">
        <v>1400</v>
      </c>
      <c r="F33" s="803"/>
      <c r="G33" s="803"/>
      <c r="H33" s="803"/>
      <c r="I33" s="803"/>
      <c r="J33" s="803"/>
      <c r="K33" s="803"/>
      <c r="L33" s="803"/>
      <c r="M33" s="803"/>
      <c r="N33" s="832"/>
      <c r="O33" s="832"/>
      <c r="P33" s="803"/>
      <c r="Q33" s="757"/>
      <c r="R33" s="877" t="str">
        <f>+[10]Proyectos!I24</f>
        <v/>
      </c>
      <c r="S33" s="832"/>
      <c r="T33" s="832" t="str">
        <f>+[10]Proyectos!J24</f>
        <v/>
      </c>
      <c r="U33" s="799"/>
      <c r="V33" s="799"/>
      <c r="W33" s="799"/>
      <c r="X33" s="835">
        <f>+[10]Proyectos!P24</f>
        <v>25000000</v>
      </c>
      <c r="Y33" s="268">
        <f t="shared" si="3"/>
        <v>25000000</v>
      </c>
      <c r="AA33" s="266"/>
      <c r="AB33" s="266"/>
      <c r="AC33" s="266"/>
    </row>
    <row r="34" spans="1:29" ht="15.75" customHeight="1">
      <c r="A34" s="700" t="s">
        <v>359</v>
      </c>
      <c r="B34" s="701">
        <f t="shared" si="4"/>
        <v>25</v>
      </c>
      <c r="C34" s="875" t="s">
        <v>1331</v>
      </c>
      <c r="D34" s="875" t="s">
        <v>1332</v>
      </c>
      <c r="E34" s="875" t="s">
        <v>1333</v>
      </c>
      <c r="F34" s="799"/>
      <c r="G34" s="799"/>
      <c r="H34" s="799"/>
      <c r="I34" s="799"/>
      <c r="J34" s="799"/>
      <c r="K34" s="799"/>
      <c r="L34" s="799"/>
      <c r="M34" s="799"/>
      <c r="N34" s="832"/>
      <c r="O34" s="832"/>
      <c r="P34" s="799"/>
      <c r="Q34" s="757"/>
      <c r="R34" s="877">
        <f>+[10]Proyectos!I25</f>
        <v>4602222.222222222</v>
      </c>
      <c r="S34" s="832"/>
      <c r="T34" s="832">
        <f>+[10]Proyectos!J25</f>
        <v>15397777.777777778</v>
      </c>
      <c r="U34" s="799"/>
      <c r="V34" s="799"/>
      <c r="W34" s="799"/>
      <c r="X34" s="835" t="str">
        <f>+[10]Proyectos!P25</f>
        <v/>
      </c>
      <c r="Y34" s="268">
        <f t="shared" si="3"/>
        <v>20000000</v>
      </c>
      <c r="AA34" s="266"/>
      <c r="AB34" s="266"/>
      <c r="AC34" s="266"/>
    </row>
    <row r="35" spans="1:29" ht="15.75" customHeight="1">
      <c r="A35" s="700" t="s">
        <v>359</v>
      </c>
      <c r="B35" s="701">
        <f t="shared" si="4"/>
        <v>26</v>
      </c>
      <c r="C35" s="875" t="s">
        <v>1401</v>
      </c>
      <c r="D35" s="875" t="s">
        <v>1402</v>
      </c>
      <c r="E35" s="875" t="s">
        <v>1403</v>
      </c>
      <c r="F35" s="799"/>
      <c r="G35" s="799"/>
      <c r="H35" s="799"/>
      <c r="I35" s="799"/>
      <c r="J35" s="799"/>
      <c r="K35" s="799"/>
      <c r="L35" s="799"/>
      <c r="M35" s="799"/>
      <c r="N35" s="832"/>
      <c r="O35" s="832"/>
      <c r="P35" s="799"/>
      <c r="Q35" s="757"/>
      <c r="R35" s="877" t="str">
        <f>+[10]Proyectos!I26</f>
        <v/>
      </c>
      <c r="S35" s="832"/>
      <c r="T35" s="832" t="str">
        <f>+[10]Proyectos!J26</f>
        <v/>
      </c>
      <c r="U35" s="799"/>
      <c r="V35" s="799"/>
      <c r="W35" s="799"/>
      <c r="X35" s="835">
        <f>+[10]Proyectos!P26</f>
        <v>23000000</v>
      </c>
      <c r="Y35" s="268">
        <f t="shared" si="3"/>
        <v>23000000</v>
      </c>
      <c r="AA35" s="266"/>
      <c r="AB35" s="266"/>
      <c r="AC35" s="266"/>
    </row>
    <row r="36" spans="1:29" ht="15.75" customHeight="1">
      <c r="A36" s="700" t="s">
        <v>359</v>
      </c>
      <c r="B36" s="701">
        <f t="shared" si="4"/>
        <v>27</v>
      </c>
      <c r="C36" s="875" t="s">
        <v>1404</v>
      </c>
      <c r="D36" s="875" t="s">
        <v>1405</v>
      </c>
      <c r="E36" s="875" t="s">
        <v>1406</v>
      </c>
      <c r="F36" s="799"/>
      <c r="G36" s="799"/>
      <c r="H36" s="799"/>
      <c r="I36" s="799"/>
      <c r="J36" s="799"/>
      <c r="K36" s="799"/>
      <c r="L36" s="799"/>
      <c r="M36" s="799"/>
      <c r="N36" s="832"/>
      <c r="O36" s="832"/>
      <c r="P36" s="799"/>
      <c r="Q36" s="757"/>
      <c r="R36" s="877" t="str">
        <f>+[10]Proyectos!I27</f>
        <v/>
      </c>
      <c r="S36" s="832"/>
      <c r="T36" s="832" t="str">
        <f>+[10]Proyectos!J27</f>
        <v/>
      </c>
      <c r="U36" s="799"/>
      <c r="V36" s="799"/>
      <c r="W36" s="799"/>
      <c r="X36" s="835">
        <f>+[10]Proyectos!P27</f>
        <v>40000000</v>
      </c>
      <c r="Y36" s="268">
        <f t="shared" si="3"/>
        <v>40000000</v>
      </c>
      <c r="AA36" s="266"/>
      <c r="AB36" s="266"/>
      <c r="AC36" s="266"/>
    </row>
    <row r="37" spans="1:29" ht="15.75" customHeight="1">
      <c r="A37" s="700" t="s">
        <v>359</v>
      </c>
      <c r="B37" s="701">
        <f t="shared" si="4"/>
        <v>28</v>
      </c>
      <c r="C37" s="875" t="s">
        <v>1407</v>
      </c>
      <c r="D37" s="875" t="s">
        <v>1408</v>
      </c>
      <c r="E37" s="875" t="s">
        <v>1409</v>
      </c>
      <c r="F37" s="799"/>
      <c r="G37" s="799"/>
      <c r="H37" s="799"/>
      <c r="I37" s="799"/>
      <c r="J37" s="799"/>
      <c r="K37" s="799"/>
      <c r="L37" s="799"/>
      <c r="M37" s="799"/>
      <c r="N37" s="832"/>
      <c r="O37" s="832"/>
      <c r="P37" s="799"/>
      <c r="Q37" s="757"/>
      <c r="R37" s="877">
        <f>+[10]Proyectos!I28</f>
        <v>6183333.333333334</v>
      </c>
      <c r="S37" s="832"/>
      <c r="T37" s="832">
        <f>+[10]Proyectos!J28</f>
        <v>19816666.666666664</v>
      </c>
      <c r="U37" s="799"/>
      <c r="V37" s="799"/>
      <c r="W37" s="799"/>
      <c r="X37" s="835" t="str">
        <f>+[10]Proyectos!P28</f>
        <v/>
      </c>
      <c r="Y37" s="268">
        <f t="shared" si="3"/>
        <v>26000000</v>
      </c>
      <c r="AA37" s="266"/>
      <c r="AB37" s="266"/>
      <c r="AC37" s="266"/>
    </row>
    <row r="38" spans="1:29" ht="15.75" customHeight="1">
      <c r="A38" s="700" t="s">
        <v>359</v>
      </c>
      <c r="B38" s="701">
        <f t="shared" si="4"/>
        <v>29</v>
      </c>
      <c r="C38" s="875" t="s">
        <v>1410</v>
      </c>
      <c r="D38" s="875" t="s">
        <v>1411</v>
      </c>
      <c r="E38" s="875" t="s">
        <v>1412</v>
      </c>
      <c r="F38" s="799"/>
      <c r="G38" s="799"/>
      <c r="H38" s="799"/>
      <c r="I38" s="799"/>
      <c r="J38" s="799"/>
      <c r="K38" s="799"/>
      <c r="L38" s="799"/>
      <c r="M38" s="799"/>
      <c r="N38" s="832"/>
      <c r="O38" s="832"/>
      <c r="P38" s="799"/>
      <c r="Q38" s="757"/>
      <c r="R38" s="877" t="str">
        <f>+[10]Proyectos!I29</f>
        <v/>
      </c>
      <c r="S38" s="832"/>
      <c r="T38" s="832" t="str">
        <f>+[10]Proyectos!J29</f>
        <v/>
      </c>
      <c r="U38" s="799"/>
      <c r="V38" s="799"/>
      <c r="W38" s="799"/>
      <c r="X38" s="835">
        <f>+[10]Proyectos!P29</f>
        <v>10000000</v>
      </c>
      <c r="Y38" s="268">
        <f t="shared" si="3"/>
        <v>10000000</v>
      </c>
      <c r="AA38" s="266"/>
      <c r="AB38" s="266"/>
      <c r="AC38" s="266"/>
    </row>
    <row r="39" spans="1:29" ht="15.75" customHeight="1">
      <c r="A39" s="700" t="s">
        <v>359</v>
      </c>
      <c r="B39" s="701">
        <f t="shared" si="4"/>
        <v>30</v>
      </c>
      <c r="C39" s="875" t="s">
        <v>1413</v>
      </c>
      <c r="D39" s="875" t="s">
        <v>1414</v>
      </c>
      <c r="E39" s="875" t="s">
        <v>1415</v>
      </c>
      <c r="F39" s="799"/>
      <c r="G39" s="799"/>
      <c r="H39" s="799"/>
      <c r="I39" s="799"/>
      <c r="J39" s="799"/>
      <c r="K39" s="799"/>
      <c r="L39" s="799"/>
      <c r="M39" s="799"/>
      <c r="N39" s="832"/>
      <c r="O39" s="832"/>
      <c r="P39" s="799"/>
      <c r="Q39" s="757"/>
      <c r="R39" s="877">
        <f>+[10]Proyectos!I30</f>
        <v>1527259.2592592593</v>
      </c>
      <c r="S39" s="832"/>
      <c r="T39" s="832">
        <f>+[10]Proyectos!J30</f>
        <v>5472740.7407407407</v>
      </c>
      <c r="U39" s="799"/>
      <c r="V39" s="799"/>
      <c r="W39" s="799"/>
      <c r="X39" s="835" t="str">
        <f>+[10]Proyectos!P30</f>
        <v/>
      </c>
      <c r="Y39" s="268">
        <f t="shared" si="3"/>
        <v>7000000</v>
      </c>
      <c r="AA39" s="266"/>
      <c r="AB39" s="266"/>
      <c r="AC39" s="266"/>
    </row>
    <row r="40" spans="1:29" ht="15.75" customHeight="1">
      <c r="A40" s="700" t="s">
        <v>359</v>
      </c>
      <c r="B40" s="701">
        <f t="shared" si="4"/>
        <v>31</v>
      </c>
      <c r="C40" s="875" t="s">
        <v>1416</v>
      </c>
      <c r="D40" s="875" t="s">
        <v>1417</v>
      </c>
      <c r="E40" s="875" t="s">
        <v>1418</v>
      </c>
      <c r="F40" s="799"/>
      <c r="G40" s="799"/>
      <c r="H40" s="799"/>
      <c r="I40" s="799"/>
      <c r="J40" s="799"/>
      <c r="K40" s="799"/>
      <c r="L40" s="799"/>
      <c r="M40" s="799"/>
      <c r="N40" s="832"/>
      <c r="O40" s="832"/>
      <c r="P40" s="799"/>
      <c r="Q40" s="757"/>
      <c r="R40" s="877">
        <f>+[10]Proyectos!I31</f>
        <v>4975185.1851851847</v>
      </c>
      <c r="S40" s="832"/>
      <c r="T40" s="832">
        <f>+[10]Proyectos!J31</f>
        <v>18024814.814814813</v>
      </c>
      <c r="U40" s="799"/>
      <c r="V40" s="799"/>
      <c r="W40" s="799"/>
      <c r="X40" s="835" t="str">
        <f>+[10]Proyectos!P31</f>
        <v/>
      </c>
      <c r="Y40" s="268">
        <f t="shared" si="3"/>
        <v>23000000</v>
      </c>
      <c r="AA40" s="266"/>
      <c r="AB40" s="266"/>
      <c r="AC40" s="266"/>
    </row>
    <row r="41" spans="1:29" ht="15.75" customHeight="1">
      <c r="A41" s="700" t="s">
        <v>359</v>
      </c>
      <c r="B41" s="701">
        <f t="shared" si="4"/>
        <v>32</v>
      </c>
      <c r="C41" s="875" t="s">
        <v>1419</v>
      </c>
      <c r="D41" s="875" t="s">
        <v>1420</v>
      </c>
      <c r="E41" s="875" t="s">
        <v>1421</v>
      </c>
      <c r="F41" s="799"/>
      <c r="G41" s="799"/>
      <c r="H41" s="799"/>
      <c r="I41" s="799"/>
      <c r="J41" s="799"/>
      <c r="K41" s="799"/>
      <c r="L41" s="799"/>
      <c r="M41" s="799"/>
      <c r="N41" s="832"/>
      <c r="O41" s="832"/>
      <c r="P41" s="799"/>
      <c r="Q41" s="756"/>
      <c r="R41" s="877" t="str">
        <f>+[10]Proyectos!I32</f>
        <v/>
      </c>
      <c r="S41" s="832"/>
      <c r="T41" s="832" t="str">
        <f>+[10]Proyectos!J32</f>
        <v/>
      </c>
      <c r="U41" s="799"/>
      <c r="V41" s="799"/>
      <c r="W41" s="799"/>
      <c r="X41" s="835">
        <f>+[10]Proyectos!P32</f>
        <v>20000000</v>
      </c>
      <c r="Y41" s="268">
        <f t="shared" si="3"/>
        <v>20000000</v>
      </c>
      <c r="AA41" s="266"/>
      <c r="AB41" s="266"/>
      <c r="AC41" s="266"/>
    </row>
    <row r="42" spans="1:29" ht="15.75" customHeight="1">
      <c r="A42" s="700" t="s">
        <v>359</v>
      </c>
      <c r="B42" s="701">
        <f t="shared" si="4"/>
        <v>33</v>
      </c>
      <c r="C42" s="875" t="s">
        <v>1422</v>
      </c>
      <c r="D42" s="875" t="s">
        <v>1423</v>
      </c>
      <c r="E42" s="875" t="s">
        <v>1424</v>
      </c>
      <c r="F42" s="799"/>
      <c r="G42" s="799"/>
      <c r="H42" s="799"/>
      <c r="I42" s="799"/>
      <c r="J42" s="799"/>
      <c r="K42" s="799"/>
      <c r="L42" s="799"/>
      <c r="M42" s="799"/>
      <c r="N42" s="832"/>
      <c r="O42" s="832"/>
      <c r="P42" s="799"/>
      <c r="Q42" s="756"/>
      <c r="R42" s="877">
        <f>+[10]Proyectos!I33</f>
        <v>1133851.8518518517</v>
      </c>
      <c r="S42" s="832"/>
      <c r="T42" s="832">
        <f>+[10]Proyectos!J33</f>
        <v>3866148.1481481483</v>
      </c>
      <c r="U42" s="799"/>
      <c r="V42" s="799"/>
      <c r="W42" s="799"/>
      <c r="X42" s="835" t="str">
        <f>+[10]Proyectos!P33</f>
        <v/>
      </c>
      <c r="Y42" s="268">
        <f t="shared" si="3"/>
        <v>5000000</v>
      </c>
      <c r="AA42" s="266"/>
      <c r="AB42" s="266"/>
      <c r="AC42" s="266"/>
    </row>
    <row r="43" spans="1:29" ht="15.75" customHeight="1">
      <c r="A43" s="700" t="s">
        <v>359</v>
      </c>
      <c r="B43" s="701">
        <f t="shared" si="4"/>
        <v>34</v>
      </c>
      <c r="C43" s="875" t="s">
        <v>1425</v>
      </c>
      <c r="D43" s="875" t="s">
        <v>1426</v>
      </c>
      <c r="E43" s="875" t="s">
        <v>1427</v>
      </c>
      <c r="F43" s="799"/>
      <c r="G43" s="799"/>
      <c r="H43" s="799"/>
      <c r="I43" s="799"/>
      <c r="J43" s="799"/>
      <c r="K43" s="799"/>
      <c r="L43" s="799"/>
      <c r="M43" s="799"/>
      <c r="N43" s="832"/>
      <c r="O43" s="832"/>
      <c r="P43" s="799"/>
      <c r="Q43" s="757"/>
      <c r="R43" s="877">
        <f>+[10]Proyectos!I34</f>
        <v>1167259.2592592593</v>
      </c>
      <c r="S43" s="832"/>
      <c r="T43" s="832">
        <f>+[10]Proyectos!J34</f>
        <v>3832740.7407407407</v>
      </c>
      <c r="U43" s="799"/>
      <c r="V43" s="799"/>
      <c r="W43" s="799"/>
      <c r="X43" s="835" t="str">
        <f>+[10]Proyectos!P34</f>
        <v/>
      </c>
      <c r="Y43" s="268">
        <f t="shared" si="3"/>
        <v>5000000</v>
      </c>
      <c r="AA43" s="266"/>
      <c r="AB43" s="266"/>
      <c r="AC43" s="266"/>
    </row>
    <row r="44" spans="1:29" ht="15.75" customHeight="1">
      <c r="A44" s="700" t="s">
        <v>359</v>
      </c>
      <c r="B44" s="701">
        <f t="shared" si="4"/>
        <v>35</v>
      </c>
      <c r="C44" s="875" t="s">
        <v>1428</v>
      </c>
      <c r="D44" s="875" t="s">
        <v>1429</v>
      </c>
      <c r="E44" s="875" t="s">
        <v>1430</v>
      </c>
      <c r="F44" s="799"/>
      <c r="G44" s="799"/>
      <c r="H44" s="799"/>
      <c r="I44" s="799"/>
      <c r="J44" s="799"/>
      <c r="K44" s="799"/>
      <c r="L44" s="799"/>
      <c r="M44" s="799"/>
      <c r="N44" s="833"/>
      <c r="O44" s="833"/>
      <c r="P44" s="799"/>
      <c r="Q44" s="757"/>
      <c r="R44" s="877">
        <f>+[10]Proyectos!I35</f>
        <v>8003777.777777778</v>
      </c>
      <c r="S44" s="833"/>
      <c r="T44" s="832">
        <f>+[10]Proyectos!J35</f>
        <v>26996222.222222224</v>
      </c>
      <c r="U44" s="799"/>
      <c r="V44" s="799"/>
      <c r="W44" s="799"/>
      <c r="X44" s="835" t="str">
        <f>+[10]Proyectos!P35</f>
        <v/>
      </c>
      <c r="Y44" s="268">
        <f t="shared" si="3"/>
        <v>35000000</v>
      </c>
      <c r="AA44" s="266"/>
      <c r="AB44" s="266"/>
      <c r="AC44" s="266"/>
    </row>
    <row r="45" spans="1:29" ht="15.75" customHeight="1">
      <c r="A45" s="700" t="s">
        <v>359</v>
      </c>
      <c r="B45" s="701">
        <f t="shared" si="4"/>
        <v>36</v>
      </c>
      <c r="C45" s="875" t="s">
        <v>1431</v>
      </c>
      <c r="D45" s="875" t="s">
        <v>1432</v>
      </c>
      <c r="E45" s="875" t="s">
        <v>1433</v>
      </c>
      <c r="F45" s="799"/>
      <c r="G45" s="799"/>
      <c r="H45" s="799"/>
      <c r="I45" s="799"/>
      <c r="J45" s="799"/>
      <c r="K45" s="799"/>
      <c r="L45" s="799"/>
      <c r="M45" s="799"/>
      <c r="N45" s="832"/>
      <c r="O45" s="832"/>
      <c r="P45" s="799"/>
      <c r="Q45" s="757"/>
      <c r="R45" s="877">
        <f>+[10]Proyectos!I36</f>
        <v>9137629.6296296287</v>
      </c>
      <c r="S45" s="832"/>
      <c r="T45" s="832">
        <f>+[10]Proyectos!J36</f>
        <v>30862370.370370373</v>
      </c>
      <c r="U45" s="799"/>
      <c r="V45" s="799"/>
      <c r="W45" s="799"/>
      <c r="X45" s="835" t="str">
        <f>+[10]Proyectos!P36</f>
        <v/>
      </c>
      <c r="Y45" s="268">
        <f t="shared" si="3"/>
        <v>40000000</v>
      </c>
      <c r="AA45" s="266"/>
      <c r="AB45" s="266"/>
      <c r="AC45" s="266"/>
    </row>
    <row r="46" spans="1:29" ht="15.75" customHeight="1">
      <c r="A46" s="700" t="s">
        <v>359</v>
      </c>
      <c r="B46" s="701">
        <f t="shared" si="4"/>
        <v>37</v>
      </c>
      <c r="C46" s="875" t="s">
        <v>1434</v>
      </c>
      <c r="D46" s="875" t="s">
        <v>1259</v>
      </c>
      <c r="E46" s="875" t="s">
        <v>1435</v>
      </c>
      <c r="F46" s="799"/>
      <c r="G46" s="799"/>
      <c r="H46" s="799"/>
      <c r="I46" s="799"/>
      <c r="J46" s="799"/>
      <c r="K46" s="799"/>
      <c r="L46" s="799"/>
      <c r="M46" s="799"/>
      <c r="N46" s="832"/>
      <c r="O46" s="832"/>
      <c r="P46" s="799"/>
      <c r="Q46" s="757"/>
      <c r="R46" s="877">
        <f>+[10]Proyectos!I37</f>
        <v>2167481.4814814818</v>
      </c>
      <c r="S46" s="832"/>
      <c r="T46" s="832">
        <f>+[10]Proyectos!J37</f>
        <v>7832518.5185185187</v>
      </c>
      <c r="U46" s="799"/>
      <c r="V46" s="799"/>
      <c r="W46" s="799"/>
      <c r="X46" s="835" t="str">
        <f>+[10]Proyectos!P37</f>
        <v/>
      </c>
      <c r="Y46" s="268">
        <f t="shared" si="3"/>
        <v>10000000</v>
      </c>
      <c r="AA46" s="266"/>
      <c r="AB46" s="266"/>
      <c r="AC46" s="266"/>
    </row>
    <row r="47" spans="1:29" ht="15.75" customHeight="1">
      <c r="A47" s="700" t="s">
        <v>359</v>
      </c>
      <c r="B47" s="701">
        <f t="shared" si="4"/>
        <v>38</v>
      </c>
      <c r="C47" s="875" t="s">
        <v>1436</v>
      </c>
      <c r="D47" s="875" t="s">
        <v>1437</v>
      </c>
      <c r="E47" s="875" t="s">
        <v>1438</v>
      </c>
      <c r="F47" s="802"/>
      <c r="G47" s="802"/>
      <c r="H47" s="802"/>
      <c r="I47" s="802"/>
      <c r="J47" s="802"/>
      <c r="K47" s="802"/>
      <c r="L47" s="802"/>
      <c r="M47" s="802"/>
      <c r="N47" s="832"/>
      <c r="O47" s="832"/>
      <c r="P47" s="802"/>
      <c r="Q47" s="757"/>
      <c r="R47" s="877">
        <f>+[10]Proyectos!I38</f>
        <v>475148.68301481492</v>
      </c>
      <c r="S47" s="832"/>
      <c r="T47" s="832">
        <f>+[10]Proyectos!J38</f>
        <v>1793372.8069851852</v>
      </c>
      <c r="U47" s="799"/>
      <c r="V47" s="799"/>
      <c r="W47" s="799"/>
      <c r="X47" s="835" t="str">
        <f>+[10]Proyectos!P38</f>
        <v/>
      </c>
      <c r="Y47" s="268">
        <f t="shared" si="3"/>
        <v>2268521.4900000002</v>
      </c>
      <c r="AA47" s="266"/>
      <c r="AB47" s="266"/>
      <c r="AC47" s="266"/>
    </row>
    <row r="48" spans="1:29" ht="15.75" customHeight="1">
      <c r="A48" s="700" t="s">
        <v>359</v>
      </c>
      <c r="B48" s="701">
        <f t="shared" si="4"/>
        <v>39</v>
      </c>
      <c r="C48" s="875" t="s">
        <v>1439</v>
      </c>
      <c r="D48" s="875" t="s">
        <v>1440</v>
      </c>
      <c r="E48" s="875" t="s">
        <v>1441</v>
      </c>
      <c r="F48" s="799"/>
      <c r="G48" s="799"/>
      <c r="H48" s="799"/>
      <c r="I48" s="799"/>
      <c r="J48" s="799"/>
      <c r="K48" s="799"/>
      <c r="L48" s="799"/>
      <c r="M48" s="799"/>
      <c r="N48" s="832"/>
      <c r="O48" s="832"/>
      <c r="P48" s="799"/>
      <c r="Q48" s="757"/>
      <c r="R48" s="877">
        <f>+[10]Proyectos!I39</f>
        <v>685222.22222222225</v>
      </c>
      <c r="S48" s="832"/>
      <c r="T48" s="832">
        <f>+[10]Proyectos!J39</f>
        <v>2564777.777777778</v>
      </c>
      <c r="U48" s="799"/>
      <c r="V48" s="799"/>
      <c r="W48" s="799"/>
      <c r="X48" s="835" t="str">
        <f>+[10]Proyectos!P39</f>
        <v/>
      </c>
      <c r="Y48" s="268">
        <f t="shared" si="3"/>
        <v>3250000</v>
      </c>
      <c r="AA48" s="266"/>
      <c r="AB48" s="266"/>
      <c r="AC48" s="266"/>
    </row>
    <row r="49" spans="1:25" ht="15.75" customHeight="1">
      <c r="A49" s="696"/>
      <c r="B49" s="385"/>
      <c r="C49" s="704"/>
      <c r="D49" s="704"/>
      <c r="E49" s="705"/>
      <c r="F49" s="705"/>
      <c r="G49" s="705"/>
      <c r="H49" s="705"/>
      <c r="I49" s="705"/>
      <c r="J49" s="705"/>
      <c r="K49" s="705"/>
      <c r="L49" s="705"/>
      <c r="M49" s="705"/>
      <c r="N49" s="705"/>
      <c r="O49" s="705"/>
      <c r="P49" s="705"/>
      <c r="Q49" s="705"/>
      <c r="R49" s="705"/>
      <c r="S49" s="705"/>
      <c r="T49" s="386"/>
      <c r="U49" s="386"/>
      <c r="V49" s="386"/>
      <c r="W49" s="386"/>
      <c r="X49" s="386"/>
      <c r="Y49" s="696"/>
    </row>
    <row r="50" spans="1:25" ht="27.75" customHeight="1">
      <c r="A50" s="696"/>
      <c r="B50" s="703"/>
      <c r="C50" s="702"/>
      <c r="D50" s="702"/>
      <c r="E50" s="705" t="s">
        <v>374</v>
      </c>
      <c r="F50" s="705"/>
      <c r="G50" s="705"/>
      <c r="H50" s="705"/>
      <c r="I50" s="705"/>
      <c r="J50" s="705"/>
      <c r="K50" s="705"/>
      <c r="L50" s="705"/>
      <c r="M50" s="705"/>
      <c r="N50" s="705"/>
      <c r="O50" s="705"/>
      <c r="P50" s="705"/>
      <c r="Q50" s="705"/>
      <c r="R50" s="705"/>
      <c r="S50" s="705"/>
      <c r="T50" s="283"/>
      <c r="U50" s="283"/>
      <c r="V50" s="283"/>
      <c r="W50" s="283"/>
      <c r="X50" s="283"/>
      <c r="Y50" s="283" t="s">
        <v>24</v>
      </c>
    </row>
    <row r="51" spans="1:25" ht="15.75" customHeight="1">
      <c r="A51" s="696"/>
      <c r="B51" s="703"/>
      <c r="C51" s="706"/>
      <c r="D51" s="706"/>
      <c r="E51" s="707"/>
      <c r="F51" s="707"/>
      <c r="G51" s="707"/>
      <c r="H51" s="707"/>
      <c r="I51" s="707"/>
      <c r="J51" s="707"/>
      <c r="K51" s="707"/>
      <c r="L51" s="707"/>
      <c r="M51" s="707"/>
      <c r="N51" s="707"/>
      <c r="O51" s="707"/>
      <c r="P51" s="707"/>
      <c r="Q51" s="707"/>
      <c r="R51" s="707"/>
      <c r="S51" s="707"/>
      <c r="T51" s="316"/>
      <c r="U51" s="316"/>
      <c r="V51" s="316"/>
      <c r="W51" s="316"/>
      <c r="X51" s="316">
        <f>SUM(X52:X85)</f>
        <v>0</v>
      </c>
      <c r="Y51" s="390">
        <f>SUM(T51:X51)</f>
        <v>0</v>
      </c>
    </row>
    <row r="52" spans="1:25" ht="15.75" customHeight="1">
      <c r="A52" s="696"/>
      <c r="B52" s="701">
        <v>1</v>
      </c>
      <c r="C52" s="1014" t="s">
        <v>1244</v>
      </c>
      <c r="D52" s="1012"/>
      <c r="E52" s="1013"/>
      <c r="F52" s="807"/>
      <c r="G52" s="807"/>
      <c r="H52" s="807"/>
      <c r="I52" s="807"/>
      <c r="J52" s="807"/>
      <c r="K52" s="807"/>
      <c r="L52" s="807"/>
      <c r="M52" s="807"/>
      <c r="N52" s="807"/>
      <c r="O52" s="807"/>
      <c r="P52" s="807"/>
      <c r="T52" s="317"/>
      <c r="U52" s="317"/>
      <c r="V52" s="317"/>
      <c r="W52" s="317"/>
      <c r="X52" s="268"/>
      <c r="Y52" s="390">
        <f>SUM(T52:X52)</f>
        <v>0</v>
      </c>
    </row>
    <row r="53" spans="1:25" ht="15.75" customHeight="1">
      <c r="A53" s="696"/>
      <c r="B53" s="701">
        <v>2</v>
      </c>
      <c r="C53" s="1011" t="s">
        <v>1264</v>
      </c>
      <c r="D53" s="1012"/>
      <c r="E53" s="1013"/>
      <c r="F53" s="794"/>
      <c r="G53" s="794"/>
      <c r="H53" s="794"/>
      <c r="I53" s="794"/>
      <c r="J53" s="794"/>
      <c r="K53" s="794"/>
      <c r="L53" s="794"/>
      <c r="M53" s="794"/>
      <c r="N53" s="823"/>
      <c r="O53" s="823"/>
      <c r="P53" s="794"/>
      <c r="Q53" s="708"/>
      <c r="R53" s="754"/>
      <c r="S53" s="754"/>
      <c r="T53" s="710">
        <v>150000</v>
      </c>
      <c r="U53" s="710"/>
      <c r="V53" s="710"/>
      <c r="W53" s="710"/>
      <c r="X53" s="268"/>
      <c r="Y53" s="390">
        <f>SUM(T53:X53)</f>
        <v>150000</v>
      </c>
    </row>
    <row r="54" spans="1:25" ht="15.75" customHeight="1">
      <c r="A54" s="696"/>
      <c r="B54" s="701">
        <v>3</v>
      </c>
      <c r="C54" s="754" t="s">
        <v>1243</v>
      </c>
      <c r="D54" s="754"/>
      <c r="E54" s="709"/>
      <c r="F54" s="709"/>
      <c r="G54" s="709"/>
      <c r="H54" s="709"/>
      <c r="I54" s="709"/>
      <c r="J54" s="709"/>
      <c r="K54" s="709"/>
      <c r="L54" s="709"/>
      <c r="M54" s="709"/>
      <c r="N54" s="709"/>
      <c r="O54" s="709"/>
      <c r="P54" s="709"/>
      <c r="Q54" s="709"/>
      <c r="R54" s="709"/>
      <c r="S54" s="709"/>
      <c r="T54" s="710">
        <v>1000000</v>
      </c>
      <c r="U54" s="710"/>
      <c r="V54" s="710"/>
      <c r="W54" s="710"/>
      <c r="X54" s="268"/>
      <c r="Y54" s="390">
        <f>SUM(T54:X54)</f>
        <v>1000000</v>
      </c>
    </row>
    <row r="55" spans="1:25" ht="15.75" customHeight="1">
      <c r="A55" s="696"/>
      <c r="B55" s="701"/>
      <c r="C55" s="758" t="s">
        <v>1307</v>
      </c>
      <c r="D55" s="754"/>
      <c r="E55" s="709"/>
      <c r="F55" s="709"/>
      <c r="G55" s="709"/>
      <c r="H55" s="709"/>
      <c r="I55" s="709"/>
      <c r="J55" s="709"/>
      <c r="K55" s="709"/>
      <c r="L55" s="709"/>
      <c r="M55" s="709"/>
      <c r="N55" s="709"/>
      <c r="O55" s="709"/>
      <c r="P55" s="814">
        <f>+'Ingreso Interno'!C95</f>
        <v>8085227.21</v>
      </c>
      <c r="Q55" s="709"/>
      <c r="R55" s="709"/>
      <c r="S55" s="709"/>
      <c r="T55" s="710">
        <f>+'Ingreso Contraloría'!C90</f>
        <v>0</v>
      </c>
      <c r="U55" s="710"/>
      <c r="V55" s="710"/>
      <c r="W55" s="710"/>
      <c r="X55" s="268"/>
      <c r="Y55" s="390">
        <f>+P55</f>
        <v>8085227.21</v>
      </c>
    </row>
    <row r="67" spans="5:19" ht="15.75" customHeight="1">
      <c r="E67" s="820"/>
    </row>
    <row r="68" spans="5:19" ht="15.75" customHeight="1">
      <c r="E68" s="820"/>
    </row>
    <row r="75" spans="5:19" ht="15.75" customHeight="1">
      <c r="E75" s="266"/>
      <c r="F75" s="266"/>
      <c r="G75" s="266"/>
      <c r="H75" s="266"/>
      <c r="I75" s="266"/>
      <c r="J75" s="266"/>
      <c r="K75" s="266"/>
      <c r="L75" s="266"/>
      <c r="M75" s="266"/>
      <c r="N75" s="266"/>
      <c r="O75" s="266"/>
      <c r="P75" s="266"/>
      <c r="Q75" s="266"/>
      <c r="R75" s="266"/>
      <c r="S75" s="266"/>
    </row>
    <row r="76" spans="5:19" ht="15.75" customHeight="1">
      <c r="E76" s="266"/>
      <c r="F76" s="266"/>
      <c r="G76" s="266"/>
      <c r="H76" s="266"/>
      <c r="I76" s="266"/>
      <c r="J76" s="266"/>
      <c r="K76" s="266"/>
      <c r="L76" s="266"/>
      <c r="M76" s="266"/>
      <c r="N76" s="266"/>
      <c r="O76" s="266"/>
      <c r="P76" s="266"/>
      <c r="Q76" s="266"/>
      <c r="R76" s="266"/>
      <c r="S76" s="266"/>
    </row>
  </sheetData>
  <mergeCells count="12">
    <mergeCell ref="B6:Y6"/>
    <mergeCell ref="B3:Y3"/>
    <mergeCell ref="B1:Y1"/>
    <mergeCell ref="B2:Y2"/>
    <mergeCell ref="B4:Y4"/>
    <mergeCell ref="B5:Y5"/>
    <mergeCell ref="A7:B7"/>
    <mergeCell ref="C53:E53"/>
    <mergeCell ref="C52:E52"/>
    <mergeCell ref="C7:E7"/>
    <mergeCell ref="T7:X7"/>
    <mergeCell ref="D9:E9"/>
  </mergeCells>
  <phoneticPr fontId="3" type="noConversion"/>
  <pageMargins left="0" right="0" top="0.19685039370078741" bottom="0.19685039370078741" header="0" footer="0"/>
  <pageSetup paperSize="5" scale="70" orientation="landscape" horizontalDpi="4294967294" verticalDpi="144" r:id="rId1"/>
  <headerFooter alignWithMargins="0"/>
  <ignoredErrors>
    <ignoredError sqref="A1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8"/>
  <sheetViews>
    <sheetView workbookViewId="0">
      <selection activeCell="A3" sqref="A3:M3"/>
    </sheetView>
  </sheetViews>
  <sheetFormatPr baseColWidth="10" defaultRowHeight="15.75" customHeight="1"/>
  <cols>
    <col min="1" max="1" width="8.5703125" style="411" customWidth="1"/>
    <col min="2" max="2" width="7.7109375" style="411" customWidth="1"/>
    <col min="3" max="3" width="3" style="441" bestFit="1" customWidth="1"/>
    <col min="4" max="4" width="35" style="411" customWidth="1"/>
    <col min="5" max="5" width="0.28515625" style="428" hidden="1" customWidth="1"/>
    <col min="6" max="6" width="14" style="428" customWidth="1"/>
    <col min="7" max="7" width="16.28515625" style="428" customWidth="1"/>
    <col min="8" max="8" width="12.7109375" style="428" customWidth="1"/>
    <col min="9" max="10" width="13.7109375" style="428" customWidth="1"/>
    <col min="11" max="11" width="15.140625" style="428" customWidth="1"/>
    <col min="12" max="12" width="15.7109375" style="411" customWidth="1"/>
    <col min="13" max="13" width="14.42578125" style="411" customWidth="1"/>
    <col min="14" max="15" width="14.42578125" style="411" bestFit="1" customWidth="1"/>
    <col min="16" max="16" width="16" style="411" customWidth="1"/>
    <col min="17" max="17" width="16.28515625" style="411" customWidth="1"/>
    <col min="18" max="16384" width="11.42578125" style="411"/>
  </cols>
  <sheetData>
    <row r="1" spans="1:17" ht="15.75" customHeight="1">
      <c r="A1" s="1023" t="s">
        <v>1039</v>
      </c>
      <c r="B1" s="1023"/>
      <c r="C1" s="1023"/>
      <c r="D1" s="1023"/>
      <c r="E1" s="1023"/>
      <c r="F1" s="1023"/>
      <c r="G1" s="1023"/>
      <c r="H1" s="1023"/>
      <c r="I1" s="1023"/>
      <c r="J1" s="1023"/>
      <c r="K1" s="1023"/>
      <c r="L1" s="1023"/>
      <c r="M1" s="1023"/>
    </row>
    <row r="2" spans="1:17" ht="15.75" customHeight="1">
      <c r="A2" s="1023" t="s">
        <v>1119</v>
      </c>
      <c r="B2" s="1023"/>
      <c r="C2" s="1023"/>
      <c r="D2" s="1023"/>
      <c r="E2" s="1023"/>
      <c r="F2" s="1023"/>
      <c r="G2" s="1023"/>
      <c r="H2" s="1023"/>
      <c r="I2" s="1023"/>
      <c r="J2" s="1023"/>
      <c r="K2" s="1023"/>
      <c r="L2" s="1023"/>
      <c r="M2" s="1023"/>
    </row>
    <row r="3" spans="1:17" ht="12.75" customHeight="1">
      <c r="A3" s="1019" t="s">
        <v>1006</v>
      </c>
      <c r="B3" s="1019"/>
      <c r="C3" s="1019"/>
      <c r="D3" s="1019"/>
      <c r="E3" s="1019"/>
      <c r="F3" s="1019"/>
      <c r="G3" s="1019"/>
      <c r="H3" s="1019"/>
      <c r="I3" s="1019"/>
      <c r="J3" s="1019"/>
      <c r="K3" s="1019"/>
      <c r="L3" s="1019"/>
      <c r="M3" s="1019"/>
    </row>
    <row r="4" spans="1:17" ht="15.75" customHeight="1">
      <c r="A4" s="1023" t="s">
        <v>1040</v>
      </c>
      <c r="B4" s="1023"/>
      <c r="C4" s="1023"/>
      <c r="D4" s="1023"/>
      <c r="E4" s="1023"/>
      <c r="F4" s="1023"/>
      <c r="G4" s="1023"/>
      <c r="H4" s="1023"/>
      <c r="I4" s="1023"/>
      <c r="J4" s="1023"/>
      <c r="K4" s="1023"/>
      <c r="L4" s="1023"/>
      <c r="M4" s="1023"/>
    </row>
    <row r="5" spans="1:17" ht="15.75" customHeight="1">
      <c r="A5" s="412" t="s">
        <v>352</v>
      </c>
      <c r="B5" s="412"/>
      <c r="C5" s="413"/>
      <c r="D5" s="413"/>
      <c r="E5" s="413"/>
      <c r="F5" s="413"/>
      <c r="G5" s="413"/>
      <c r="H5" s="413"/>
      <c r="I5" s="413"/>
      <c r="J5" s="413"/>
      <c r="K5" s="413"/>
      <c r="L5" s="413"/>
      <c r="M5" s="413"/>
    </row>
    <row r="6" spans="1:17" ht="15.75" customHeight="1">
      <c r="C6" s="1023"/>
      <c r="D6" s="1023"/>
      <c r="E6" s="1023"/>
      <c r="F6" s="1023"/>
      <c r="G6" s="1023"/>
      <c r="H6" s="1023"/>
      <c r="I6" s="1023"/>
      <c r="J6" s="1023"/>
      <c r="K6" s="1023"/>
      <c r="L6" s="1023"/>
      <c r="M6" s="1023"/>
    </row>
    <row r="7" spans="1:17" ht="15.75" customHeight="1">
      <c r="C7" s="410"/>
      <c r="D7" s="414"/>
      <c r="E7" s="1020" t="s">
        <v>375</v>
      </c>
      <c r="F7" s="1021"/>
      <c r="G7" s="1021"/>
      <c r="H7" s="1021"/>
      <c r="I7" s="1021"/>
      <c r="J7" s="1021"/>
      <c r="K7" s="1021"/>
      <c r="L7" s="1021"/>
      <c r="M7" s="1022"/>
    </row>
    <row r="8" spans="1:17" s="415" customFormat="1" ht="24.75" customHeight="1">
      <c r="C8" s="416"/>
      <c r="D8" s="417"/>
      <c r="E8" s="418" t="s">
        <v>400</v>
      </c>
      <c r="F8" s="418" t="s">
        <v>667</v>
      </c>
      <c r="G8" s="418" t="s">
        <v>1070</v>
      </c>
      <c r="H8" s="418" t="s">
        <v>1041</v>
      </c>
      <c r="I8" s="418" t="s">
        <v>133</v>
      </c>
      <c r="J8" s="418" t="s">
        <v>1042</v>
      </c>
      <c r="K8" s="419" t="s">
        <v>678</v>
      </c>
      <c r="L8" s="419" t="s">
        <v>1043</v>
      </c>
      <c r="M8" s="419"/>
    </row>
    <row r="9" spans="1:17" ht="66" customHeight="1">
      <c r="A9" s="420" t="s">
        <v>1044</v>
      </c>
      <c r="B9" s="421" t="s">
        <v>47</v>
      </c>
      <c r="C9" s="414"/>
      <c r="D9" s="422" t="s">
        <v>1045</v>
      </c>
      <c r="E9" s="423" t="e">
        <f>+#REF!+#REF!+#REF!+#REF!+#REF!+#REF!+#REF!+#REF!+#REF!+#REF!</f>
        <v>#REF!</v>
      </c>
      <c r="F9" s="422" t="s">
        <v>122</v>
      </c>
      <c r="G9" s="422" t="s">
        <v>1071</v>
      </c>
      <c r="H9" s="422" t="s">
        <v>613</v>
      </c>
      <c r="I9" s="422" t="s">
        <v>1046</v>
      </c>
      <c r="J9" s="422" t="s">
        <v>1047</v>
      </c>
      <c r="K9" s="422" t="s">
        <v>1063</v>
      </c>
      <c r="L9" s="422" t="s">
        <v>1048</v>
      </c>
      <c r="M9" s="422" t="s">
        <v>24</v>
      </c>
    </row>
    <row r="10" spans="1:17" ht="19.5" customHeight="1">
      <c r="A10" s="424"/>
      <c r="B10" s="424"/>
      <c r="C10" s="414"/>
      <c r="D10" s="425"/>
      <c r="E10" s="426"/>
      <c r="F10" s="427">
        <f>SUM(F11:F31)</f>
        <v>0</v>
      </c>
      <c r="G10" s="427" t="e">
        <f>#N/A</f>
        <v>#N/A</v>
      </c>
      <c r="H10" s="427" t="e">
        <f>#N/A</f>
        <v>#N/A</v>
      </c>
      <c r="I10" s="427" t="e">
        <f>#N/A</f>
        <v>#N/A</v>
      </c>
      <c r="J10" s="427" t="e">
        <f>#N/A</f>
        <v>#N/A</v>
      </c>
      <c r="K10" s="427" t="e">
        <f>#N/A</f>
        <v>#N/A</v>
      </c>
      <c r="L10" s="427" t="e">
        <f>#N/A</f>
        <v>#N/A</v>
      </c>
      <c r="M10" s="427" t="e">
        <f>SUM(M11:M31)</f>
        <v>#N/A</v>
      </c>
      <c r="N10" s="428"/>
    </row>
    <row r="11" spans="1:17" ht="27.75" customHeight="1">
      <c r="A11" s="429" t="s">
        <v>358</v>
      </c>
      <c r="B11" s="414">
        <v>1</v>
      </c>
      <c r="C11" s="414"/>
      <c r="D11" s="445" t="s">
        <v>1061</v>
      </c>
      <c r="E11" s="426"/>
      <c r="F11" s="427"/>
      <c r="G11" s="427"/>
      <c r="H11" s="427"/>
      <c r="I11" s="427"/>
      <c r="J11" s="427"/>
      <c r="K11" s="427"/>
      <c r="L11" s="427"/>
      <c r="M11" s="435">
        <f>+F11+G11+H11+I11+J11+K11+L11</f>
        <v>0</v>
      </c>
      <c r="N11" s="428"/>
    </row>
    <row r="12" spans="1:17" ht="18" customHeight="1">
      <c r="A12" s="429" t="s">
        <v>358</v>
      </c>
      <c r="B12" s="414">
        <v>2</v>
      </c>
      <c r="C12" s="430"/>
      <c r="D12" s="431" t="s">
        <v>1049</v>
      </c>
      <c r="E12" s="432" t="s">
        <v>1027</v>
      </c>
      <c r="F12" s="433"/>
      <c r="G12" s="433"/>
      <c r="H12" s="434"/>
      <c r="I12" s="434"/>
      <c r="J12" s="434"/>
      <c r="K12" s="434"/>
      <c r="L12" s="435"/>
      <c r="M12" s="435" t="e">
        <f>#N/A</f>
        <v>#N/A</v>
      </c>
      <c r="N12" s="428"/>
      <c r="O12" s="428"/>
      <c r="P12" s="428"/>
      <c r="Q12" s="428"/>
    </row>
    <row r="13" spans="1:17" ht="27" customHeight="1">
      <c r="A13" s="429" t="s">
        <v>358</v>
      </c>
      <c r="B13" s="414">
        <v>3</v>
      </c>
      <c r="C13" s="430"/>
      <c r="D13" s="431" t="s">
        <v>1050</v>
      </c>
      <c r="E13" s="432"/>
      <c r="F13" s="433"/>
      <c r="G13" s="433"/>
      <c r="H13" s="434"/>
      <c r="I13" s="434"/>
      <c r="J13" s="434"/>
      <c r="K13" s="434"/>
      <c r="L13" s="435"/>
      <c r="M13" s="435" t="e">
        <f>#N/A</f>
        <v>#N/A</v>
      </c>
      <c r="N13" s="428"/>
      <c r="O13" s="428"/>
      <c r="P13" s="428"/>
      <c r="Q13" s="428"/>
    </row>
    <row r="14" spans="1:17" ht="27" customHeight="1">
      <c r="A14" s="429" t="s">
        <v>358</v>
      </c>
      <c r="B14" s="414">
        <v>4</v>
      </c>
      <c r="C14" s="430"/>
      <c r="D14" s="431" t="s">
        <v>1051</v>
      </c>
      <c r="E14" s="432"/>
      <c r="F14" s="433"/>
      <c r="G14" s="433"/>
      <c r="H14" s="434"/>
      <c r="I14" s="434"/>
      <c r="J14" s="434"/>
      <c r="K14" s="434"/>
      <c r="L14" s="435"/>
      <c r="M14" s="435" t="e">
        <f>#N/A</f>
        <v>#N/A</v>
      </c>
      <c r="N14" s="428"/>
      <c r="O14" s="428"/>
      <c r="P14" s="428"/>
      <c r="Q14" s="428"/>
    </row>
    <row r="15" spans="1:17" ht="27" customHeight="1">
      <c r="A15" s="429" t="s">
        <v>358</v>
      </c>
      <c r="B15" s="414">
        <v>5</v>
      </c>
      <c r="C15" s="430"/>
      <c r="D15" s="431" t="s">
        <v>1052</v>
      </c>
      <c r="E15" s="432"/>
      <c r="F15" s="433"/>
      <c r="G15" s="433"/>
      <c r="H15" s="434"/>
      <c r="I15" s="434"/>
      <c r="J15" s="434"/>
      <c r="K15" s="434"/>
      <c r="L15" s="435"/>
      <c r="M15" s="435" t="e">
        <f>#N/A</f>
        <v>#N/A</v>
      </c>
      <c r="N15" s="428"/>
      <c r="O15" s="428"/>
      <c r="P15" s="428"/>
      <c r="Q15" s="428"/>
    </row>
    <row r="16" spans="1:17" ht="27" customHeight="1">
      <c r="A16" s="429" t="s">
        <v>358</v>
      </c>
      <c r="B16" s="414">
        <v>6</v>
      </c>
      <c r="C16" s="430"/>
      <c r="D16" s="431" t="s">
        <v>1072</v>
      </c>
      <c r="E16" s="432"/>
      <c r="F16" s="433"/>
      <c r="G16" s="433"/>
      <c r="H16" s="434"/>
      <c r="I16" s="434"/>
      <c r="J16" s="434"/>
      <c r="K16" s="434"/>
      <c r="L16" s="435"/>
      <c r="M16" s="435" t="e">
        <f>#N/A</f>
        <v>#N/A</v>
      </c>
      <c r="N16" s="428"/>
      <c r="O16" s="428"/>
      <c r="P16" s="428"/>
      <c r="Q16" s="428"/>
    </row>
    <row r="17" spans="1:17" ht="35.25" customHeight="1">
      <c r="A17" s="429" t="s">
        <v>359</v>
      </c>
      <c r="B17" s="414">
        <v>1</v>
      </c>
      <c r="C17" s="414"/>
      <c r="D17" s="446" t="s">
        <v>1062</v>
      </c>
      <c r="E17" s="432"/>
      <c r="F17" s="433"/>
      <c r="G17" s="433"/>
      <c r="H17" s="434"/>
      <c r="I17" s="434"/>
      <c r="J17" s="434"/>
      <c r="K17" s="427"/>
      <c r="L17" s="435"/>
      <c r="M17" s="435" t="e">
        <f>#N/A</f>
        <v>#N/A</v>
      </c>
      <c r="N17" s="428"/>
      <c r="O17" s="428"/>
      <c r="P17" s="428"/>
      <c r="Q17" s="428"/>
    </row>
    <row r="18" spans="1:17" ht="30" customHeight="1">
      <c r="A18" s="429" t="s">
        <v>359</v>
      </c>
      <c r="B18" s="414">
        <v>2</v>
      </c>
      <c r="C18" s="414"/>
      <c r="D18" s="431" t="s">
        <v>1053</v>
      </c>
      <c r="E18" s="432" t="s">
        <v>1026</v>
      </c>
      <c r="F18" s="433"/>
      <c r="G18" s="433"/>
      <c r="H18" s="434"/>
      <c r="I18" s="434"/>
      <c r="J18" s="434"/>
      <c r="K18" s="434"/>
      <c r="L18" s="435"/>
      <c r="M18" s="435" t="e">
        <f>#N/A</f>
        <v>#N/A</v>
      </c>
      <c r="N18" s="428"/>
      <c r="O18" s="428"/>
      <c r="P18" s="428"/>
      <c r="Q18" s="428"/>
    </row>
    <row r="19" spans="1:17" ht="30.75" customHeight="1">
      <c r="A19" s="429" t="s">
        <v>359</v>
      </c>
      <c r="B19" s="414">
        <v>3</v>
      </c>
      <c r="C19" s="430"/>
      <c r="D19" s="431" t="s">
        <v>1054</v>
      </c>
      <c r="E19" s="436" t="s">
        <v>1030</v>
      </c>
      <c r="F19" s="437"/>
      <c r="G19" s="437"/>
      <c r="H19" s="438"/>
      <c r="I19" s="438"/>
      <c r="J19" s="438"/>
      <c r="K19" s="438"/>
      <c r="L19" s="438"/>
      <c r="M19" s="435" t="e">
        <f>#N/A</f>
        <v>#N/A</v>
      </c>
      <c r="N19" s="428"/>
      <c r="O19" s="428"/>
      <c r="P19" s="428"/>
      <c r="Q19" s="428"/>
    </row>
    <row r="20" spans="1:17" ht="27.75" customHeight="1">
      <c r="A20" s="429" t="s">
        <v>359</v>
      </c>
      <c r="B20" s="414">
        <v>4</v>
      </c>
      <c r="C20" s="430"/>
      <c r="D20" s="431" t="s">
        <v>1055</v>
      </c>
      <c r="E20" s="436"/>
      <c r="F20" s="437"/>
      <c r="G20" s="437"/>
      <c r="H20" s="438"/>
      <c r="I20" s="438"/>
      <c r="J20" s="438"/>
      <c r="K20" s="438"/>
      <c r="L20" s="438"/>
      <c r="M20" s="435" t="e">
        <f>#N/A</f>
        <v>#N/A</v>
      </c>
      <c r="N20" s="428"/>
      <c r="O20" s="428"/>
      <c r="P20" s="428"/>
      <c r="Q20" s="428"/>
    </row>
    <row r="21" spans="1:17" ht="27.75" customHeight="1">
      <c r="A21" s="429" t="s">
        <v>360</v>
      </c>
      <c r="B21" s="414">
        <v>1</v>
      </c>
      <c r="C21" s="414"/>
      <c r="D21" s="446" t="s">
        <v>1068</v>
      </c>
      <c r="E21" s="436"/>
      <c r="F21" s="437"/>
      <c r="G21" s="437"/>
      <c r="H21" s="438"/>
      <c r="I21" s="438"/>
      <c r="J21" s="438"/>
      <c r="K21" s="438"/>
      <c r="L21" s="427"/>
      <c r="M21" s="435" t="e">
        <f>#N/A</f>
        <v>#N/A</v>
      </c>
      <c r="N21" s="428"/>
      <c r="O21" s="428"/>
      <c r="P21" s="428"/>
      <c r="Q21" s="428"/>
    </row>
    <row r="22" spans="1:17" ht="36" customHeight="1">
      <c r="A22" s="429" t="s">
        <v>362</v>
      </c>
      <c r="B22" s="414">
        <v>1</v>
      </c>
      <c r="C22" s="430"/>
      <c r="D22" s="445" t="s">
        <v>1064</v>
      </c>
      <c r="E22" s="436"/>
      <c r="F22" s="437"/>
      <c r="G22" s="437"/>
      <c r="H22" s="438"/>
      <c r="I22" s="438"/>
      <c r="J22" s="438"/>
      <c r="K22" s="438"/>
      <c r="L22" s="435"/>
      <c r="M22" s="435" t="e">
        <f>#N/A</f>
        <v>#N/A</v>
      </c>
      <c r="N22" s="428"/>
      <c r="O22" s="428"/>
      <c r="P22" s="428"/>
      <c r="Q22" s="428"/>
    </row>
    <row r="23" spans="1:17" ht="27.75" customHeight="1">
      <c r="A23" s="429" t="s">
        <v>362</v>
      </c>
      <c r="B23" s="414">
        <v>2</v>
      </c>
      <c r="C23" s="430"/>
      <c r="D23" s="445" t="s">
        <v>1065</v>
      </c>
      <c r="E23" s="436"/>
      <c r="F23" s="437"/>
      <c r="G23" s="437"/>
      <c r="H23" s="438"/>
      <c r="I23" s="438"/>
      <c r="J23" s="438"/>
      <c r="K23" s="438"/>
      <c r="L23" s="438"/>
      <c r="M23" s="435" t="e">
        <f>#N/A</f>
        <v>#N/A</v>
      </c>
      <c r="N23" s="428"/>
      <c r="O23" s="428"/>
      <c r="P23" s="428"/>
      <c r="Q23" s="428"/>
    </row>
    <row r="24" spans="1:17" ht="27.75" customHeight="1">
      <c r="A24" s="429" t="s">
        <v>362</v>
      </c>
      <c r="B24" s="414">
        <v>3</v>
      </c>
      <c r="C24" s="430"/>
      <c r="D24" s="445" t="s">
        <v>1066</v>
      </c>
      <c r="E24" s="436"/>
      <c r="F24" s="437"/>
      <c r="G24" s="437"/>
      <c r="H24" s="438"/>
      <c r="I24" s="438"/>
      <c r="J24" s="438"/>
      <c r="K24" s="438"/>
      <c r="L24" s="435"/>
      <c r="M24" s="435" t="e">
        <f>#N/A</f>
        <v>#N/A</v>
      </c>
      <c r="N24" s="428"/>
      <c r="O24" s="428"/>
      <c r="P24" s="428"/>
      <c r="Q24" s="428"/>
    </row>
    <row r="25" spans="1:17" ht="27.75" customHeight="1">
      <c r="A25" s="429" t="s">
        <v>362</v>
      </c>
      <c r="B25" s="414">
        <v>4</v>
      </c>
      <c r="C25" s="430"/>
      <c r="D25" s="446" t="s">
        <v>1067</v>
      </c>
      <c r="E25" s="436"/>
      <c r="F25" s="437"/>
      <c r="G25" s="437"/>
      <c r="H25" s="438"/>
      <c r="I25" s="438"/>
      <c r="J25" s="438"/>
      <c r="K25" s="438"/>
      <c r="L25" s="434"/>
      <c r="M25" s="435" t="e">
        <f>#N/A</f>
        <v>#N/A</v>
      </c>
      <c r="N25" s="428"/>
      <c r="O25" s="428"/>
      <c r="P25" s="428"/>
      <c r="Q25" s="428"/>
    </row>
    <row r="26" spans="1:17" ht="16.5" customHeight="1">
      <c r="A26" s="429" t="s">
        <v>362</v>
      </c>
      <c r="B26" s="414">
        <v>5</v>
      </c>
      <c r="C26" s="430"/>
      <c r="D26" s="431" t="s">
        <v>1056</v>
      </c>
      <c r="E26" s="432" t="s">
        <v>1024</v>
      </c>
      <c r="F26" s="433"/>
      <c r="G26" s="433"/>
      <c r="H26" s="434"/>
      <c r="I26" s="434"/>
      <c r="J26" s="434"/>
      <c r="K26" s="434"/>
      <c r="L26" s="435"/>
      <c r="M26" s="435" t="e">
        <f>#N/A</f>
        <v>#N/A</v>
      </c>
      <c r="N26" s="428"/>
      <c r="O26" s="428"/>
      <c r="P26" s="428"/>
      <c r="Q26" s="428"/>
    </row>
    <row r="27" spans="1:17" ht="24.75" customHeight="1">
      <c r="A27" s="429" t="s">
        <v>362</v>
      </c>
      <c r="B27" s="414">
        <v>6</v>
      </c>
      <c r="C27" s="430"/>
      <c r="D27" s="431" t="s">
        <v>1057</v>
      </c>
      <c r="E27" s="432" t="s">
        <v>1029</v>
      </c>
      <c r="F27" s="433"/>
      <c r="G27" s="433"/>
      <c r="H27" s="434"/>
      <c r="I27" s="434"/>
      <c r="J27" s="434"/>
      <c r="K27" s="434"/>
      <c r="L27" s="434"/>
      <c r="M27" s="435" t="e">
        <f>#N/A</f>
        <v>#N/A</v>
      </c>
      <c r="N27" s="428"/>
      <c r="O27" s="428"/>
      <c r="P27" s="428"/>
      <c r="Q27" s="428"/>
    </row>
    <row r="28" spans="1:17" ht="24.75" customHeight="1">
      <c r="A28" s="429" t="s">
        <v>363</v>
      </c>
      <c r="B28" s="414">
        <v>1</v>
      </c>
      <c r="C28" s="430"/>
      <c r="D28" s="445" t="s">
        <v>1069</v>
      </c>
      <c r="E28" s="432"/>
      <c r="F28" s="433"/>
      <c r="G28" s="434"/>
      <c r="H28" s="434"/>
      <c r="I28" s="434"/>
      <c r="J28" s="434"/>
      <c r="K28" s="434"/>
      <c r="L28" s="434"/>
      <c r="M28" s="435" t="e">
        <f>#N/A</f>
        <v>#N/A</v>
      </c>
      <c r="N28" s="428"/>
      <c r="O28" s="428"/>
      <c r="P28" s="428"/>
      <c r="Q28" s="428"/>
    </row>
    <row r="29" spans="1:17" ht="15.75" customHeight="1">
      <c r="A29" s="429" t="s">
        <v>363</v>
      </c>
      <c r="B29" s="414">
        <v>2</v>
      </c>
      <c r="C29" s="430"/>
      <c r="D29" s="431" t="s">
        <v>1058</v>
      </c>
      <c r="E29" s="432" t="s">
        <v>1025</v>
      </c>
      <c r="F29" s="433"/>
      <c r="G29" s="433"/>
      <c r="H29" s="434"/>
      <c r="I29" s="434"/>
      <c r="J29" s="434"/>
      <c r="K29" s="434"/>
      <c r="L29" s="435"/>
      <c r="M29" s="435" t="e">
        <f>#N/A</f>
        <v>#N/A</v>
      </c>
      <c r="N29" s="428"/>
      <c r="O29" s="439"/>
      <c r="P29" s="428"/>
      <c r="Q29" s="428"/>
    </row>
    <row r="30" spans="1:17" ht="26.25" customHeight="1">
      <c r="A30" s="429" t="s">
        <v>363</v>
      </c>
      <c r="B30" s="414">
        <v>3</v>
      </c>
      <c r="C30" s="430"/>
      <c r="D30" s="431" t="s">
        <v>1059</v>
      </c>
      <c r="E30" s="432" t="s">
        <v>1028</v>
      </c>
      <c r="F30" s="433"/>
      <c r="G30" s="433"/>
      <c r="H30" s="434"/>
      <c r="I30" s="434"/>
      <c r="J30" s="434"/>
      <c r="K30" s="434"/>
      <c r="L30" s="434"/>
      <c r="M30" s="435" t="e">
        <f>#N/A</f>
        <v>#N/A</v>
      </c>
    </row>
    <row r="31" spans="1:17" ht="30.75" customHeight="1">
      <c r="A31" s="429" t="s">
        <v>363</v>
      </c>
      <c r="B31" s="414">
        <v>4</v>
      </c>
      <c r="C31" s="440"/>
      <c r="D31" s="388" t="s">
        <v>1060</v>
      </c>
      <c r="E31" s="435"/>
      <c r="F31" s="435"/>
      <c r="G31" s="435"/>
      <c r="H31" s="435"/>
      <c r="I31" s="435"/>
      <c r="J31" s="317"/>
      <c r="K31" s="317"/>
      <c r="L31" s="435"/>
      <c r="M31" s="435" t="e">
        <f>#N/A</f>
        <v>#N/A</v>
      </c>
    </row>
    <row r="32" spans="1:17" ht="15.75" customHeight="1">
      <c r="D32" s="442"/>
    </row>
    <row r="46" spans="7:7" ht="15.75" customHeight="1">
      <c r="G46" s="428" t="e">
        <f>+M10+'Distrib Programas III Poyectos'!Y10+'Distribucion Programas III UTGV'!C9+'Distribucion Programas II '!Q10+'Distribucion Programas I'!F8</f>
        <v>#N/A</v>
      </c>
    </row>
    <row r="47" spans="7:7" ht="15.75" customHeight="1">
      <c r="G47" s="428">
        <f>+'Ingreso Interno'!C109</f>
        <v>3001086291.3400002</v>
      </c>
    </row>
    <row r="48" spans="7:7" ht="15.75" customHeight="1">
      <c r="G48" s="428" t="e">
        <f>+G46-G47</f>
        <v>#N/A</v>
      </c>
    </row>
  </sheetData>
  <mergeCells count="6">
    <mergeCell ref="E7:M7"/>
    <mergeCell ref="A1:M1"/>
    <mergeCell ref="A2:M2"/>
    <mergeCell ref="A3:M3"/>
    <mergeCell ref="A4:M4"/>
    <mergeCell ref="C6:M6"/>
  </mergeCells>
  <hyperlinks>
    <hyperlink ref="D29" location="_0.01.04___  Sueldos a base de comis" display="_0.01.04___  Sueldos a base de comis" xr:uid="{00000000-0004-0000-0700-000000000000}"/>
    <hyperlink ref="D26" location="_0.01.02_Jornales" display="_0.01.02_Jornales" xr:uid="{00000000-0004-0000-0700-000001000000}"/>
    <hyperlink ref="D24" location="_0.01.02_Jornales" display="_0.01.02_Jornales" xr:uid="{00000000-0004-0000-0700-000002000000}"/>
    <hyperlink ref="D28" location="_0.01.05_Suplencias" display="_0.01.05_Suplencias" xr:uid="{00000000-0004-0000-0700-000003000000}"/>
  </hyperlinks>
  <pageMargins left="0.11811023622047245" right="0.11811023622047245" top="0.15748031496062992" bottom="0.15748031496062992" header="0.31496062992125984" footer="0.31496062992125984"/>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9"/>
  <sheetViews>
    <sheetView workbookViewId="0">
      <selection activeCell="A3" sqref="A3:F3"/>
    </sheetView>
  </sheetViews>
  <sheetFormatPr baseColWidth="10" defaultRowHeight="15.75" customHeight="1"/>
  <cols>
    <col min="1" max="1" width="9.28515625" style="179" customWidth="1"/>
    <col min="2" max="2" width="61.7109375" style="179" customWidth="1"/>
    <col min="3" max="3" width="14.42578125" style="190" customWidth="1"/>
    <col min="4" max="4" width="13.85546875" style="190" customWidth="1"/>
    <col min="5" max="5" width="12.7109375" style="190" customWidth="1"/>
    <col min="6" max="6" width="13" style="179" customWidth="1"/>
    <col min="7" max="7" width="12" style="179" customWidth="1"/>
    <col min="8" max="16384" width="11.42578125" style="179"/>
  </cols>
  <sheetData>
    <row r="1" spans="1:7" ht="15.75" customHeight="1">
      <c r="A1" s="1007" t="s">
        <v>199</v>
      </c>
      <c r="B1" s="1007"/>
      <c r="C1" s="1007"/>
      <c r="D1" s="1007"/>
      <c r="E1" s="1007"/>
      <c r="F1" s="1007"/>
    </row>
    <row r="2" spans="1:7" ht="15.75" customHeight="1">
      <c r="A2" s="1007" t="s">
        <v>1117</v>
      </c>
      <c r="B2" s="1007"/>
      <c r="C2" s="1007"/>
      <c r="D2" s="1007"/>
      <c r="E2" s="1007"/>
      <c r="F2" s="1007"/>
    </row>
    <row r="3" spans="1:7" ht="12.75" customHeight="1">
      <c r="A3" s="1008" t="s">
        <v>1006</v>
      </c>
      <c r="B3" s="1007"/>
      <c r="C3" s="1007"/>
      <c r="D3" s="1007"/>
      <c r="E3" s="1007"/>
      <c r="F3" s="1007"/>
      <c r="G3" s="213"/>
    </row>
    <row r="4" spans="1:7" ht="15.75" customHeight="1">
      <c r="A4" s="1007" t="s">
        <v>681</v>
      </c>
      <c r="B4" s="1007"/>
      <c r="C4" s="1007"/>
      <c r="D4" s="1007"/>
      <c r="E4" s="1007"/>
      <c r="F4" s="1007"/>
    </row>
    <row r="5" spans="1:7" ht="15.75" customHeight="1">
      <c r="A5" s="1007" t="s">
        <v>352</v>
      </c>
      <c r="B5" s="1007"/>
      <c r="C5" s="1007"/>
      <c r="D5" s="1007"/>
      <c r="E5" s="1007"/>
      <c r="F5" s="1007"/>
    </row>
    <row r="6" spans="1:7" ht="15.75" customHeight="1">
      <c r="A6" s="180"/>
      <c r="B6" s="180"/>
      <c r="C6" s="1004" t="s">
        <v>357</v>
      </c>
      <c r="D6" s="1005"/>
      <c r="E6" s="1006"/>
    </row>
    <row r="7" spans="1:7" s="200" customFormat="1" ht="43.5" customHeight="1">
      <c r="A7" s="202" t="s">
        <v>1020</v>
      </c>
      <c r="B7" s="202" t="s">
        <v>217</v>
      </c>
      <c r="C7" s="202" t="s">
        <v>1032</v>
      </c>
      <c r="D7" s="202" t="s">
        <v>1033</v>
      </c>
      <c r="E7" s="202" t="s">
        <v>680</v>
      </c>
      <c r="F7" s="202" t="s">
        <v>353</v>
      </c>
    </row>
    <row r="8" spans="1:7" ht="27" customHeight="1">
      <c r="A8" s="115"/>
      <c r="B8" s="181" t="s">
        <v>189</v>
      </c>
      <c r="C8" s="193">
        <f>+C9+C51+C125+C169+C197+C222+C254+C297+C323+C340</f>
        <v>448636709.52141696</v>
      </c>
      <c r="D8" s="193">
        <f>+D9+D51+D125+D169+D197+D222+D254+D297+D323+D340</f>
        <v>391621590.93384337</v>
      </c>
      <c r="E8" s="193">
        <f>+E9+E51+E125+E169+E197+E222+E254+E297+E323+E340</f>
        <v>0</v>
      </c>
      <c r="F8" s="191">
        <f>+C8+D8+E8</f>
        <v>840258300.45526028</v>
      </c>
      <c r="G8" s="236"/>
    </row>
    <row r="9" spans="1:7" ht="15.75" customHeight="1">
      <c r="A9" s="181">
        <v>0</v>
      </c>
      <c r="B9" s="181" t="s">
        <v>190</v>
      </c>
      <c r="C9" s="193">
        <f>+C10+C17+C24+C32+C40+C47</f>
        <v>335752548.73600101</v>
      </c>
      <c r="D9" s="193">
        <f>+D10+D17+D24+D32+D40+D47</f>
        <v>289118682.92784339</v>
      </c>
      <c r="E9" s="193">
        <f>+E10+E17+E24+E32+E40+E47</f>
        <v>0</v>
      </c>
      <c r="F9" s="191" t="e">
        <f>#N/A</f>
        <v>#N/A</v>
      </c>
      <c r="G9" s="236"/>
    </row>
    <row r="10" spans="1:7" ht="15.75" customHeight="1">
      <c r="A10" s="181" t="s">
        <v>218</v>
      </c>
      <c r="B10" s="181" t="s">
        <v>219</v>
      </c>
      <c r="C10" s="193">
        <f>SUM(C11:C15)</f>
        <v>152506119.03709224</v>
      </c>
      <c r="D10" s="193">
        <f>SUM(D11:D15)</f>
        <v>170974130.41815183</v>
      </c>
      <c r="E10" s="193">
        <f>SUM(E11:E15)</f>
        <v>0</v>
      </c>
      <c r="F10" s="191" t="e">
        <f>#N/A</f>
        <v>#N/A</v>
      </c>
      <c r="G10" s="213"/>
    </row>
    <row r="11" spans="1:7" ht="15.75" customHeight="1">
      <c r="A11" s="184" t="s">
        <v>296</v>
      </c>
      <c r="B11" s="184" t="s">
        <v>306</v>
      </c>
      <c r="C11" s="193">
        <f>+'Distribucion Programas I'!F11</f>
        <v>145115540.47247294</v>
      </c>
      <c r="D11" s="193">
        <f>+'Distribucion Programas II '!Q13</f>
        <v>97368937.019335076</v>
      </c>
      <c r="E11" s="193"/>
      <c r="F11" s="191" t="e">
        <f>#N/A</f>
        <v>#N/A</v>
      </c>
      <c r="G11" s="236"/>
    </row>
    <row r="12" spans="1:7" ht="15.75" customHeight="1">
      <c r="A12" s="184" t="s">
        <v>297</v>
      </c>
      <c r="B12" s="184" t="s">
        <v>308</v>
      </c>
      <c r="C12" s="193">
        <v>0</v>
      </c>
      <c r="D12" s="193">
        <f>+'Distribucion Programas II '!Q14</f>
        <v>2150000</v>
      </c>
      <c r="E12" s="193"/>
      <c r="F12" s="191" t="e">
        <f>#N/A</f>
        <v>#N/A</v>
      </c>
      <c r="G12" s="190"/>
    </row>
    <row r="13" spans="1:7" ht="15.75" customHeight="1">
      <c r="A13" s="184" t="s">
        <v>298</v>
      </c>
      <c r="B13" s="184" t="s">
        <v>307</v>
      </c>
      <c r="C13" s="193">
        <f>+'Distribucion Programas I'!F13</f>
        <v>0</v>
      </c>
      <c r="D13" s="193">
        <f>+'Distribucion Programas II '!Q15</f>
        <v>62052057.343768336</v>
      </c>
      <c r="E13" s="193"/>
      <c r="F13" s="191" t="e">
        <f>#N/A</f>
        <v>#N/A</v>
      </c>
      <c r="G13" s="190"/>
    </row>
    <row r="14" spans="1:7" ht="15.75" customHeight="1">
      <c r="A14" s="184" t="s">
        <v>299</v>
      </c>
      <c r="B14" s="184" t="s">
        <v>309</v>
      </c>
      <c r="C14" s="193">
        <f>+'Distribucion Programas I'!F14</f>
        <v>0</v>
      </c>
      <c r="D14" s="193">
        <f>+'Distribucion Programas II '!Q16</f>
        <v>0</v>
      </c>
      <c r="E14" s="193"/>
      <c r="F14" s="191" t="e">
        <f>#N/A</f>
        <v>#N/A</v>
      </c>
      <c r="G14" s="190"/>
    </row>
    <row r="15" spans="1:7" ht="15.75" customHeight="1">
      <c r="A15" s="184" t="s">
        <v>300</v>
      </c>
      <c r="B15" s="184" t="s">
        <v>310</v>
      </c>
      <c r="C15" s="193">
        <f>+'Distribucion Programas I'!F15</f>
        <v>7390578.5646192888</v>
      </c>
      <c r="D15" s="193">
        <f>+'Distribucion Programas II '!Q17</f>
        <v>9403136.0550483931</v>
      </c>
      <c r="E15" s="193"/>
      <c r="F15" s="191" t="e">
        <f>#N/A</f>
        <v>#N/A</v>
      </c>
      <c r="G15" s="213"/>
    </row>
    <row r="16" spans="1:7" ht="15.75" customHeight="1">
      <c r="A16" s="183"/>
      <c r="B16" s="186"/>
      <c r="C16" s="193"/>
      <c r="D16" s="193">
        <f>+'Distribucion Programas II '!Q18</f>
        <v>0</v>
      </c>
      <c r="E16" s="193"/>
      <c r="F16" s="191" t="e">
        <f>#N/A</f>
        <v>#N/A</v>
      </c>
      <c r="G16" s="213"/>
    </row>
    <row r="17" spans="1:8" ht="15.75" customHeight="1">
      <c r="A17" s="181" t="s">
        <v>220</v>
      </c>
      <c r="B17" s="181" t="s">
        <v>221</v>
      </c>
      <c r="C17" s="193">
        <f>SUM(C18:C22)</f>
        <v>16504000</v>
      </c>
      <c r="D17" s="193">
        <f>+'Distribucion Programas II '!Q19</f>
        <v>11281871.85</v>
      </c>
      <c r="E17" s="193">
        <f>SUM(E18:E22)</f>
        <v>0</v>
      </c>
      <c r="F17" s="191" t="e">
        <f>#N/A</f>
        <v>#N/A</v>
      </c>
    </row>
    <row r="18" spans="1:8" ht="15.75" customHeight="1">
      <c r="A18" s="184" t="s">
        <v>301</v>
      </c>
      <c r="B18" s="184" t="s">
        <v>902</v>
      </c>
      <c r="C18" s="193">
        <f>+'Distribucion Programas I'!F18</f>
        <v>1000000</v>
      </c>
      <c r="D18" s="193">
        <f>+'Distribucion Programas II '!Q20</f>
        <v>11281871.85</v>
      </c>
      <c r="E18" s="193"/>
      <c r="F18" s="191" t="e">
        <f>#N/A</f>
        <v>#N/A</v>
      </c>
    </row>
    <row r="19" spans="1:8" ht="15.75" customHeight="1">
      <c r="A19" s="184" t="s">
        <v>302</v>
      </c>
      <c r="B19" s="184" t="s">
        <v>903</v>
      </c>
      <c r="C19" s="193">
        <f>+'Distribucion Programas I'!F19</f>
        <v>0</v>
      </c>
      <c r="D19" s="193">
        <f>+'Distribucion Programas II '!Q21</f>
        <v>0</v>
      </c>
      <c r="E19" s="193"/>
      <c r="F19" s="191" t="e">
        <f>#N/A</f>
        <v>#N/A</v>
      </c>
    </row>
    <row r="20" spans="1:8" ht="15.75" customHeight="1">
      <c r="A20" s="184" t="s">
        <v>303</v>
      </c>
      <c r="B20" s="184" t="s">
        <v>904</v>
      </c>
      <c r="C20" s="193">
        <f>+'Distribucion Programas I'!F20</f>
        <v>0</v>
      </c>
      <c r="D20" s="193">
        <f>+'Distribucion Programas II '!Q22</f>
        <v>0</v>
      </c>
      <c r="E20" s="193"/>
      <c r="F20" s="191" t="e">
        <f>#N/A</f>
        <v>#N/A</v>
      </c>
    </row>
    <row r="21" spans="1:8" ht="15.75" customHeight="1">
      <c r="A21" s="184" t="s">
        <v>304</v>
      </c>
      <c r="B21" s="184" t="s">
        <v>905</v>
      </c>
      <c r="C21" s="193">
        <f>+'Distribucion Programas I'!F21</f>
        <v>0</v>
      </c>
      <c r="D21" s="193">
        <f>+'Distribucion Programas II '!Q23</f>
        <v>0</v>
      </c>
      <c r="E21" s="193"/>
      <c r="F21" s="191" t="e">
        <f>#N/A</f>
        <v>#N/A</v>
      </c>
    </row>
    <row r="22" spans="1:8" ht="15.75" customHeight="1">
      <c r="A22" s="184" t="s">
        <v>305</v>
      </c>
      <c r="B22" s="184" t="s">
        <v>906</v>
      </c>
      <c r="C22" s="193">
        <f>+'Distribucion Programas I'!F22</f>
        <v>15504000</v>
      </c>
      <c r="D22" s="193">
        <f>+'Distribucion Programas II '!Q24</f>
        <v>0</v>
      </c>
      <c r="E22" s="193"/>
      <c r="F22" s="191" t="e">
        <f>#N/A</f>
        <v>#N/A</v>
      </c>
      <c r="G22" s="213"/>
    </row>
    <row r="23" spans="1:8" ht="15.75" customHeight="1">
      <c r="A23" s="183"/>
      <c r="B23" s="186"/>
      <c r="C23" s="193"/>
      <c r="D23" s="193">
        <f>+'Distribucion Programas II '!Q25</f>
        <v>0</v>
      </c>
      <c r="E23" s="193"/>
      <c r="F23" s="191"/>
      <c r="H23" s="190"/>
    </row>
    <row r="24" spans="1:8" ht="15.75" customHeight="1">
      <c r="A24" s="181" t="s">
        <v>222</v>
      </c>
      <c r="B24" s="181" t="s">
        <v>223</v>
      </c>
      <c r="C24" s="193">
        <f>SUM(C25:C29)</f>
        <v>122069435.32653838</v>
      </c>
      <c r="D24" s="193">
        <f>+'Distribucion Programas II '!Q26</f>
        <v>74261144.668789417</v>
      </c>
      <c r="E24" s="193">
        <f>SUM(E25:E29)</f>
        <v>0</v>
      </c>
      <c r="F24" s="191" t="e">
        <f>#N/A</f>
        <v>#N/A</v>
      </c>
    </row>
    <row r="25" spans="1:8" ht="15.75" customHeight="1">
      <c r="A25" s="184" t="s">
        <v>311</v>
      </c>
      <c r="B25" s="184" t="s">
        <v>316</v>
      </c>
      <c r="C25" s="193">
        <f>+'Distribucion Programas I'!F25</f>
        <v>41977834.188589536</v>
      </c>
      <c r="D25" s="193">
        <f>+'Distribucion Programas II '!Q27</f>
        <v>27889728.415954698</v>
      </c>
      <c r="E25" s="193"/>
      <c r="F25" s="191" t="e">
        <f>#N/A</f>
        <v>#N/A</v>
      </c>
    </row>
    <row r="26" spans="1:8" ht="15.75" customHeight="1">
      <c r="A26" s="184" t="s">
        <v>312</v>
      </c>
      <c r="B26" s="184" t="s">
        <v>317</v>
      </c>
      <c r="C26" s="193">
        <f>+'Distribucion Programas I'!F26</f>
        <v>39637069.786793962</v>
      </c>
      <c r="D26" s="193">
        <f>+'Distribucion Programas II '!Q28</f>
        <v>9007684.5426556356</v>
      </c>
      <c r="E26" s="193"/>
      <c r="F26" s="191" t="e">
        <f>#N/A</f>
        <v>#N/A</v>
      </c>
    </row>
    <row r="27" spans="1:8" ht="15.75" customHeight="1">
      <c r="A27" s="184" t="s">
        <v>313</v>
      </c>
      <c r="B27" s="184" t="s">
        <v>318</v>
      </c>
      <c r="C27" s="193">
        <f>+'Distribucion Programas I'!F27</f>
        <v>21198119.566433124</v>
      </c>
      <c r="D27" s="193">
        <f>+'Distribucion Programas II '!Q29</f>
        <v>19758506.661152832</v>
      </c>
      <c r="E27" s="193"/>
      <c r="F27" s="191" t="e">
        <f>#N/A</f>
        <v>#N/A</v>
      </c>
    </row>
    <row r="28" spans="1:8" ht="15.75" customHeight="1">
      <c r="A28" s="184" t="s">
        <v>314</v>
      </c>
      <c r="B28" s="184" t="s">
        <v>319</v>
      </c>
      <c r="C28" s="193">
        <f>+'Distribucion Programas I'!F28</f>
        <v>19256411.784721762</v>
      </c>
      <c r="D28" s="193">
        <f>+'Distribucion Programas II '!Q30</f>
        <v>17948664.707071822</v>
      </c>
      <c r="E28" s="193"/>
      <c r="F28" s="191" t="e">
        <f>#N/A</f>
        <v>#N/A</v>
      </c>
    </row>
    <row r="29" spans="1:8" ht="15.75" customHeight="1">
      <c r="A29" s="184" t="s">
        <v>315</v>
      </c>
      <c r="B29" s="184" t="s">
        <v>320</v>
      </c>
      <c r="C29" s="193">
        <f>+'Distribucion Programas I'!F29</f>
        <v>0</v>
      </c>
      <c r="D29" s="193">
        <f>+'Distribucion Programas II '!Q31</f>
        <v>0</v>
      </c>
      <c r="E29" s="193"/>
      <c r="F29" s="191" t="e">
        <f>#N/A</f>
        <v>#N/A</v>
      </c>
    </row>
    <row r="30" spans="1:8" ht="15.75" customHeight="1">
      <c r="A30" s="184"/>
      <c r="B30" s="184"/>
      <c r="C30" s="193"/>
      <c r="D30" s="193">
        <f>+'Distribucion Programas II '!Q32</f>
        <v>0</v>
      </c>
      <c r="E30" s="193"/>
      <c r="F30" s="191"/>
    </row>
    <row r="31" spans="1:8" ht="15.75" customHeight="1">
      <c r="A31" s="183" t="s">
        <v>224</v>
      </c>
      <c r="B31" s="186"/>
      <c r="C31" s="193"/>
      <c r="D31" s="193">
        <f>+'Distribucion Programas II '!Q33</f>
        <v>23117452.801358599</v>
      </c>
      <c r="E31" s="193"/>
      <c r="F31" s="191" t="e">
        <f>#N/A</f>
        <v>#N/A</v>
      </c>
    </row>
    <row r="32" spans="1:8" ht="30" customHeight="1">
      <c r="A32" s="181" t="s">
        <v>321</v>
      </c>
      <c r="B32" s="284" t="s">
        <v>346</v>
      </c>
      <c r="C32" s="193">
        <f>SUM(C33:C37)</f>
        <v>34092548.336808987</v>
      </c>
      <c r="D32" s="193">
        <f>+'Distribucion Programas II '!Q34</f>
        <v>21931942.393879645</v>
      </c>
      <c r="E32" s="193">
        <f>SUM(E33:E37)</f>
        <v>0</v>
      </c>
      <c r="F32" s="191" t="e">
        <f>SUM(F33:F37)</f>
        <v>#N/A</v>
      </c>
      <c r="G32" s="213"/>
    </row>
    <row r="33" spans="1:7" ht="30.75" customHeight="1">
      <c r="A33" s="184" t="s">
        <v>322</v>
      </c>
      <c r="B33" s="184" t="s">
        <v>443</v>
      </c>
      <c r="C33" s="193">
        <f>(C11+C12+C13+C15+C18+C25+C26)*14%</f>
        <v>32916943.221746605</v>
      </c>
      <c r="D33" s="193">
        <f>+'Distribucion Programas II '!Q35</f>
        <v>0</v>
      </c>
      <c r="E33" s="193"/>
      <c r="F33" s="191">
        <f>SUM(C33:E33)</f>
        <v>32916943.221746605</v>
      </c>
      <c r="G33" s="190"/>
    </row>
    <row r="34" spans="1:7" ht="15.75" customHeight="1">
      <c r="A34" s="184" t="s">
        <v>323</v>
      </c>
      <c r="B34" s="184" t="s">
        <v>444</v>
      </c>
      <c r="C34" s="193"/>
      <c r="D34" s="193">
        <f>+'Distribucion Programas II '!Q36</f>
        <v>0</v>
      </c>
      <c r="E34" s="193"/>
      <c r="F34" s="191" t="e">
        <f>#N/A</f>
        <v>#N/A</v>
      </c>
      <c r="G34" s="190"/>
    </row>
    <row r="35" spans="1:7" ht="15.75" customHeight="1">
      <c r="A35" s="184" t="s">
        <v>324</v>
      </c>
      <c r="B35" s="184" t="s">
        <v>445</v>
      </c>
      <c r="C35" s="193"/>
      <c r="D35" s="193">
        <f>+'Distribucion Programas II '!Q37</f>
        <v>0</v>
      </c>
      <c r="E35" s="193"/>
      <c r="F35" s="191" t="e">
        <f>#N/A</f>
        <v>#N/A</v>
      </c>
      <c r="G35" s="190"/>
    </row>
    <row r="36" spans="1:7" ht="15.75" customHeight="1">
      <c r="A36" s="184" t="s">
        <v>325</v>
      </c>
      <c r="B36" s="184" t="s">
        <v>446</v>
      </c>
      <c r="C36" s="193"/>
      <c r="D36" s="193">
        <f>+'Distribucion Programas II '!Q38</f>
        <v>1185510.3996691699</v>
      </c>
      <c r="E36" s="193"/>
      <c r="F36" s="191" t="e">
        <f>#N/A</f>
        <v>#N/A</v>
      </c>
      <c r="G36" s="190"/>
    </row>
    <row r="37" spans="1:7" ht="15.75" customHeight="1">
      <c r="A37" s="184" t="s">
        <v>326</v>
      </c>
      <c r="B37" s="184" t="s">
        <v>447</v>
      </c>
      <c r="C37" s="193">
        <f>+(+C11+C12+C13+C15+C18+C25+C26)*0.5%</f>
        <v>1175605.1150623786</v>
      </c>
      <c r="D37" s="193">
        <f>+'Distribucion Programas II '!Q39</f>
        <v>0</v>
      </c>
      <c r="E37" s="193">
        <f>(+E11+E12+E13+E14+E15+E18+E19+E20+E25+E26)*0.5%</f>
        <v>0</v>
      </c>
      <c r="F37" s="191">
        <f>SUM(C37:E37)</f>
        <v>1175605.1150623786</v>
      </c>
      <c r="G37" s="190"/>
    </row>
    <row r="38" spans="1:7" ht="15.75" customHeight="1">
      <c r="A38" s="188"/>
      <c r="B38" s="188"/>
      <c r="C38" s="193"/>
      <c r="D38" s="193">
        <f>+'Distribucion Programas II '!Q40</f>
        <v>23117452.791358601</v>
      </c>
      <c r="E38" s="193"/>
      <c r="F38" s="191"/>
      <c r="G38" s="190"/>
    </row>
    <row r="39" spans="1:7" ht="15.75" customHeight="1">
      <c r="A39" s="188" t="s">
        <v>224</v>
      </c>
      <c r="B39" s="188"/>
      <c r="C39" s="193"/>
      <c r="D39" s="193">
        <f>+'Distribucion Programas II '!Q41</f>
        <v>0</v>
      </c>
      <c r="E39" s="193"/>
      <c r="F39" s="191" t="e">
        <f>#N/A</f>
        <v>#N/A</v>
      </c>
    </row>
    <row r="40" spans="1:7" ht="26.25" customHeight="1">
      <c r="A40" s="286" t="s">
        <v>327</v>
      </c>
      <c r="B40" s="284" t="s">
        <v>980</v>
      </c>
      <c r="C40" s="237">
        <f>SUM(C41:C45)</f>
        <v>10580446.035561409</v>
      </c>
      <c r="D40" s="237">
        <f>SUM(D41:D45)</f>
        <v>10669593.59702253</v>
      </c>
      <c r="E40" s="287">
        <f>SUM(E41:E45)</f>
        <v>0</v>
      </c>
      <c r="F40" s="191" t="e">
        <f>#N/A</f>
        <v>#N/A</v>
      </c>
    </row>
    <row r="41" spans="1:7" ht="33.75" customHeight="1">
      <c r="A41" s="203" t="s">
        <v>329</v>
      </c>
      <c r="B41" s="203" t="s">
        <v>342</v>
      </c>
      <c r="C41" s="205"/>
      <c r="D41" s="193">
        <f>+'Distribucion Programas II '!Q43</f>
        <v>3556531.1990075097</v>
      </c>
      <c r="E41" s="205"/>
      <c r="F41" s="201" t="e">
        <f>#N/A</f>
        <v>#N/A</v>
      </c>
    </row>
    <row r="42" spans="1:7" ht="15.75" customHeight="1">
      <c r="A42" s="184" t="s">
        <v>330</v>
      </c>
      <c r="B42" s="184" t="s">
        <v>343</v>
      </c>
      <c r="C42" s="193">
        <f>(+C11+C12+C13+C14+C15+C18+C19+C20+C25+C26)*1.5%</f>
        <v>3526815.345187136</v>
      </c>
      <c r="D42" s="193">
        <f>+'Distribucion Programas II '!Q44</f>
        <v>7113062.3980150195</v>
      </c>
      <c r="E42" s="193"/>
      <c r="F42" s="191">
        <f>SUM(C42:E42)</f>
        <v>10639877.743202155</v>
      </c>
      <c r="G42" s="190"/>
    </row>
    <row r="43" spans="1:7" ht="15.75" customHeight="1">
      <c r="A43" s="184" t="s">
        <v>331</v>
      </c>
      <c r="B43" s="184" t="s">
        <v>341</v>
      </c>
      <c r="C43" s="193">
        <f>(+C11+C12+C13+C14+C15+C18+C19+C20+C25+C26)*3%</f>
        <v>7053630.6903742719</v>
      </c>
      <c r="D43" s="193">
        <f>+'Distribucion Programas II '!Q45</f>
        <v>0</v>
      </c>
      <c r="E43" s="193"/>
      <c r="F43" s="191">
        <f>SUM(C43:E43)</f>
        <v>7053630.6903742719</v>
      </c>
      <c r="G43" s="190"/>
    </row>
    <row r="44" spans="1:7" ht="15.75" customHeight="1">
      <c r="A44" s="184" t="s">
        <v>332</v>
      </c>
      <c r="B44" s="184" t="s">
        <v>344</v>
      </c>
      <c r="C44" s="193"/>
      <c r="D44" s="193">
        <f>+'Distribucion Programas II '!Q46</f>
        <v>0</v>
      </c>
      <c r="E44" s="193"/>
      <c r="F44" s="191" t="e">
        <f>#N/A</f>
        <v>#N/A</v>
      </c>
    </row>
    <row r="45" spans="1:7" ht="15.75" customHeight="1">
      <c r="A45" s="188" t="s">
        <v>333</v>
      </c>
      <c r="B45" s="188" t="s">
        <v>345</v>
      </c>
      <c r="C45" s="285"/>
      <c r="D45" s="193">
        <f>+'Distribucion Programas II '!Q47</f>
        <v>0</v>
      </c>
      <c r="E45" s="285"/>
      <c r="F45" s="306" t="e">
        <f>#N/A</f>
        <v>#N/A</v>
      </c>
    </row>
    <row r="46" spans="1:7" ht="15.75" customHeight="1">
      <c r="A46" s="312"/>
      <c r="B46" s="312"/>
      <c r="C46" s="309"/>
      <c r="D46" s="193">
        <f>+'Distribucion Programas II '!Q48</f>
        <v>0</v>
      </c>
      <c r="E46" s="309"/>
      <c r="F46" s="311"/>
    </row>
    <row r="47" spans="1:7" ht="15.75" customHeight="1">
      <c r="A47" s="189" t="s">
        <v>335</v>
      </c>
      <c r="B47" s="189" t="s">
        <v>334</v>
      </c>
      <c r="C47" s="205">
        <f>SUM(C48:C49)</f>
        <v>0</v>
      </c>
      <c r="D47" s="193">
        <f>+'Distribucion Programas II '!Q49</f>
        <v>0</v>
      </c>
      <c r="E47" s="205">
        <f>SUM(E48:E49)</f>
        <v>0</v>
      </c>
      <c r="F47" s="201" t="e">
        <f>#N/A</f>
        <v>#N/A</v>
      </c>
    </row>
    <row r="48" spans="1:7" ht="15.75" customHeight="1">
      <c r="A48" s="184" t="s">
        <v>337</v>
      </c>
      <c r="B48" s="184" t="s">
        <v>339</v>
      </c>
      <c r="C48" s="193"/>
      <c r="D48" s="193">
        <f>+'Distribucion Programas II '!Q50</f>
        <v>0</v>
      </c>
      <c r="E48" s="193"/>
      <c r="F48" s="191" t="e">
        <f>#N/A</f>
        <v>#N/A</v>
      </c>
    </row>
    <row r="49" spans="1:6" ht="15.75" customHeight="1">
      <c r="A49" s="184" t="s">
        <v>338</v>
      </c>
      <c r="B49" s="184" t="s">
        <v>340</v>
      </c>
      <c r="C49" s="193"/>
      <c r="D49" s="193">
        <f>+'Distribucion Programas II '!Q51</f>
        <v>0</v>
      </c>
      <c r="E49" s="193"/>
      <c r="F49" s="191" t="e">
        <f>#N/A</f>
        <v>#N/A</v>
      </c>
    </row>
    <row r="50" spans="1:6" ht="15.75" customHeight="1">
      <c r="A50" s="183"/>
      <c r="B50" s="186"/>
      <c r="C50" s="193"/>
      <c r="D50" s="193">
        <f>+'Distribucion Programas II '!Q52</f>
        <v>70484592.640922517</v>
      </c>
      <c r="E50" s="193"/>
      <c r="F50" s="191" t="e">
        <f>#N/A</f>
        <v>#N/A</v>
      </c>
    </row>
    <row r="51" spans="1:6" ht="15.75" customHeight="1">
      <c r="A51" s="185">
        <v>1</v>
      </c>
      <c r="B51" s="187" t="s">
        <v>448</v>
      </c>
      <c r="C51" s="193">
        <f>+C52+C59+C66+C75+C84+C90+C95+C100+C111+C117</f>
        <v>18353630.69037427</v>
      </c>
      <c r="D51" s="193">
        <f>+'Distribucion Programas II '!Q53</f>
        <v>2000000</v>
      </c>
      <c r="E51" s="193">
        <f>+E52+E59+E66+E75+E84+E90+E95+E100+E111+E117</f>
        <v>0</v>
      </c>
      <c r="F51" s="191" t="e">
        <f>#N/A</f>
        <v>#N/A</v>
      </c>
    </row>
    <row r="52" spans="1:6" ht="15.75" customHeight="1">
      <c r="A52" s="181" t="s">
        <v>226</v>
      </c>
      <c r="B52" s="181" t="s">
        <v>973</v>
      </c>
      <c r="C52" s="193">
        <f>+'Distribucion Programas I'!F52</f>
        <v>0</v>
      </c>
      <c r="D52" s="193">
        <f>+'Distribucion Programas II '!Q54</f>
        <v>0</v>
      </c>
      <c r="E52" s="193">
        <f>SUM(E53:E57)</f>
        <v>0</v>
      </c>
      <c r="F52" s="191" t="e">
        <f>#N/A</f>
        <v>#N/A</v>
      </c>
    </row>
    <row r="53" spans="1:6" ht="15.75" customHeight="1">
      <c r="A53" s="184" t="s">
        <v>449</v>
      </c>
      <c r="B53" s="184" t="s">
        <v>454</v>
      </c>
      <c r="C53" s="193">
        <f>+'Distribucion Programas I'!F53</f>
        <v>0</v>
      </c>
      <c r="D53" s="193">
        <f>+'Distribucion Programas II '!Q55</f>
        <v>2000000</v>
      </c>
      <c r="E53" s="193"/>
      <c r="F53" s="191" t="e">
        <f>#N/A</f>
        <v>#N/A</v>
      </c>
    </row>
    <row r="54" spans="1:6" ht="15.75" customHeight="1">
      <c r="A54" s="184" t="s">
        <v>450</v>
      </c>
      <c r="B54" s="184" t="s">
        <v>455</v>
      </c>
      <c r="C54" s="193">
        <f>+'Distribucion Programas I'!F54</f>
        <v>0</v>
      </c>
      <c r="D54" s="193">
        <f>+'Distribucion Programas II '!Q56</f>
        <v>0</v>
      </c>
      <c r="E54" s="193"/>
      <c r="F54" s="191" t="e">
        <f>#N/A</f>
        <v>#N/A</v>
      </c>
    </row>
    <row r="55" spans="1:6" ht="15.75" customHeight="1">
      <c r="A55" s="184" t="s">
        <v>451</v>
      </c>
      <c r="B55" s="184" t="s">
        <v>456</v>
      </c>
      <c r="C55" s="193">
        <f>+'Distribucion Programas I'!F55</f>
        <v>0</v>
      </c>
      <c r="D55" s="193">
        <f>+'Distribucion Programas II '!Q57</f>
        <v>0</v>
      </c>
      <c r="E55" s="193"/>
      <c r="F55" s="191" t="e">
        <f>#N/A</f>
        <v>#N/A</v>
      </c>
    </row>
    <row r="56" spans="1:6" ht="15.75" customHeight="1">
      <c r="A56" s="184" t="s">
        <v>452</v>
      </c>
      <c r="B56" s="184" t="s">
        <v>457</v>
      </c>
      <c r="C56" s="193">
        <f>+'Distribucion Programas I'!F56</f>
        <v>0</v>
      </c>
      <c r="D56" s="193">
        <f>+'Distribucion Programas II '!Q58</f>
        <v>0</v>
      </c>
      <c r="E56" s="193"/>
      <c r="F56" s="191" t="e">
        <f>#N/A</f>
        <v>#N/A</v>
      </c>
    </row>
    <row r="57" spans="1:6" ht="15.75" customHeight="1">
      <c r="A57" s="184" t="s">
        <v>453</v>
      </c>
      <c r="B57" s="184" t="s">
        <v>458</v>
      </c>
      <c r="C57" s="193">
        <f>+'Distribucion Programas I'!F57</f>
        <v>0</v>
      </c>
      <c r="D57" s="193">
        <f>+'Distribucion Programas II '!Q59</f>
        <v>0</v>
      </c>
      <c r="E57" s="193"/>
      <c r="F57" s="191" t="e">
        <f>#N/A</f>
        <v>#N/A</v>
      </c>
    </row>
    <row r="58" spans="1:6" ht="15.75" customHeight="1">
      <c r="A58" s="183"/>
      <c r="B58" s="186"/>
      <c r="C58" s="193"/>
      <c r="D58" s="193">
        <f>+'Distribucion Programas II '!Q60</f>
        <v>26441496.420000002</v>
      </c>
      <c r="E58" s="193"/>
      <c r="F58" s="191" t="e">
        <f>#N/A</f>
        <v>#N/A</v>
      </c>
    </row>
    <row r="59" spans="1:6" ht="15.75" customHeight="1">
      <c r="A59" s="181" t="s">
        <v>227</v>
      </c>
      <c r="B59" s="181" t="s">
        <v>228</v>
      </c>
      <c r="C59" s="193">
        <f>SUM(C60:C64)</f>
        <v>3050000</v>
      </c>
      <c r="D59" s="193">
        <f>+'Distribucion Programas II '!Q61</f>
        <v>2500000</v>
      </c>
      <c r="E59" s="193">
        <f>SUM(E60:E64)</f>
        <v>0</v>
      </c>
      <c r="F59" s="191" t="e">
        <f>#N/A</f>
        <v>#N/A</v>
      </c>
    </row>
    <row r="60" spans="1:6" ht="15.75" customHeight="1">
      <c r="A60" s="184" t="s">
        <v>459</v>
      </c>
      <c r="B60" s="184" t="s">
        <v>464</v>
      </c>
      <c r="C60" s="193">
        <f>+'Distribucion Programas I'!F60</f>
        <v>1000000</v>
      </c>
      <c r="D60" s="193">
        <f>+'Distribucion Programas II '!Q62</f>
        <v>4466800</v>
      </c>
      <c r="E60" s="193"/>
      <c r="F60" s="191" t="e">
        <f>#N/A</f>
        <v>#N/A</v>
      </c>
    </row>
    <row r="61" spans="1:6" ht="15.75" customHeight="1">
      <c r="A61" s="184" t="s">
        <v>460</v>
      </c>
      <c r="B61" s="184" t="s">
        <v>465</v>
      </c>
      <c r="C61" s="193">
        <f>+'Distribucion Programas I'!F61</f>
        <v>1000000</v>
      </c>
      <c r="D61" s="193">
        <f>+'Distribucion Programas II '!Q63</f>
        <v>0</v>
      </c>
      <c r="E61" s="193"/>
      <c r="F61" s="191" t="e">
        <f>#N/A</f>
        <v>#N/A</v>
      </c>
    </row>
    <row r="62" spans="1:6" ht="15.75" customHeight="1">
      <c r="A62" s="184" t="s">
        <v>461</v>
      </c>
      <c r="B62" s="184" t="s">
        <v>466</v>
      </c>
      <c r="C62" s="193">
        <f>+'Distribucion Programas I'!F62</f>
        <v>50000</v>
      </c>
      <c r="D62" s="193">
        <f>+'Distribucion Programas II '!Q64</f>
        <v>3550000</v>
      </c>
      <c r="E62" s="193"/>
      <c r="F62" s="191" t="e">
        <f>#N/A</f>
        <v>#N/A</v>
      </c>
    </row>
    <row r="63" spans="1:6" ht="15.75" customHeight="1">
      <c r="A63" s="184" t="s">
        <v>462</v>
      </c>
      <c r="B63" s="184" t="s">
        <v>467</v>
      </c>
      <c r="C63" s="193">
        <f>+'Distribucion Programas I'!F63</f>
        <v>1000000</v>
      </c>
      <c r="D63" s="193">
        <f>+'Distribucion Programas II '!Q65</f>
        <v>15924696.42</v>
      </c>
      <c r="E63" s="193"/>
      <c r="F63" s="191" t="e">
        <f>#N/A</f>
        <v>#N/A</v>
      </c>
    </row>
    <row r="64" spans="1:6" ht="15.75" customHeight="1">
      <c r="A64" s="188" t="s">
        <v>463</v>
      </c>
      <c r="B64" s="188" t="s">
        <v>468</v>
      </c>
      <c r="C64" s="193">
        <f>+'Distribucion Programas I'!F64</f>
        <v>0</v>
      </c>
      <c r="D64" s="193">
        <f>+'Distribucion Programas II '!Q66</f>
        <v>0</v>
      </c>
      <c r="E64" s="285"/>
      <c r="F64" s="306" t="e">
        <f>#N/A</f>
        <v>#N/A</v>
      </c>
    </row>
    <row r="65" spans="1:6" ht="15.75" customHeight="1">
      <c r="A65" s="310"/>
      <c r="B65" s="308"/>
      <c r="C65" s="309"/>
      <c r="D65" s="193"/>
      <c r="E65" s="309"/>
      <c r="F65" s="311" t="e">
        <f>#N/A</f>
        <v>#N/A</v>
      </c>
    </row>
    <row r="66" spans="1:6" ht="15.75" customHeight="1">
      <c r="A66" s="189" t="s">
        <v>229</v>
      </c>
      <c r="B66" s="189" t="s">
        <v>230</v>
      </c>
      <c r="C66" s="205">
        <f>SUM(C67:C73)</f>
        <v>50000</v>
      </c>
      <c r="D66" s="205">
        <f>SUM(D67:D73)</f>
        <v>9911322.8399999999</v>
      </c>
      <c r="E66" s="205">
        <f>SUM(E67:E73)</f>
        <v>0</v>
      </c>
      <c r="F66" s="201" t="e">
        <f>#N/A</f>
        <v>#N/A</v>
      </c>
    </row>
    <row r="67" spans="1:6" ht="15.75" customHeight="1">
      <c r="A67" s="184" t="s">
        <v>469</v>
      </c>
      <c r="B67" s="184" t="s">
        <v>475</v>
      </c>
      <c r="C67" s="193">
        <f>+'Distribucion Programas I'!F67</f>
        <v>0</v>
      </c>
      <c r="D67" s="193">
        <f>+'Distribucion Programas II '!Q68</f>
        <v>3019601.61</v>
      </c>
      <c r="E67" s="193"/>
      <c r="F67" s="191" t="e">
        <f>#N/A</f>
        <v>#N/A</v>
      </c>
    </row>
    <row r="68" spans="1:6" ht="15.75" customHeight="1">
      <c r="A68" s="184" t="s">
        <v>470</v>
      </c>
      <c r="B68" s="184" t="s">
        <v>476</v>
      </c>
      <c r="C68" s="193">
        <f>+'Distribucion Programas I'!F68</f>
        <v>0</v>
      </c>
      <c r="D68" s="193">
        <f>+'Distribucion Programas II '!Q69</f>
        <v>2180000</v>
      </c>
      <c r="E68" s="193"/>
      <c r="F68" s="191" t="e">
        <f>#N/A</f>
        <v>#N/A</v>
      </c>
    </row>
    <row r="69" spans="1:6" ht="15.75" customHeight="1">
      <c r="A69" s="184" t="s">
        <v>471</v>
      </c>
      <c r="B69" s="184" t="s">
        <v>477</v>
      </c>
      <c r="C69" s="193">
        <f>+'Distribucion Programas I'!F69</f>
        <v>50000</v>
      </c>
      <c r="D69" s="193">
        <f>+'Distribucion Programas II '!Q70</f>
        <v>1571747.23</v>
      </c>
      <c r="E69" s="193"/>
      <c r="F69" s="191" t="e">
        <f>#N/A</f>
        <v>#N/A</v>
      </c>
    </row>
    <row r="70" spans="1:6" ht="15.75" customHeight="1">
      <c r="A70" s="184" t="s">
        <v>472</v>
      </c>
      <c r="B70" s="184" t="s">
        <v>478</v>
      </c>
      <c r="C70" s="193">
        <f>+'Distribucion Programas I'!F70</f>
        <v>0</v>
      </c>
      <c r="D70" s="193">
        <f>+'Distribucion Programas II '!Q71</f>
        <v>0</v>
      </c>
      <c r="E70" s="193"/>
      <c r="F70" s="191" t="e">
        <f>#N/A</f>
        <v>#N/A</v>
      </c>
    </row>
    <row r="71" spans="1:6" ht="15.75" customHeight="1">
      <c r="A71" s="184" t="s">
        <v>473</v>
      </c>
      <c r="B71" s="184" t="s">
        <v>479</v>
      </c>
      <c r="C71" s="193">
        <f>+'Distribucion Programas I'!F71</f>
        <v>0</v>
      </c>
      <c r="D71" s="193">
        <f>+'Distribucion Programas II '!Q73</f>
        <v>0</v>
      </c>
      <c r="E71" s="193"/>
      <c r="F71" s="191" t="e">
        <f>#N/A</f>
        <v>#N/A</v>
      </c>
    </row>
    <row r="72" spans="1:6" ht="15.75" customHeight="1">
      <c r="A72" s="184" t="s">
        <v>474</v>
      </c>
      <c r="B72" s="184" t="s">
        <v>482</v>
      </c>
      <c r="C72" s="193">
        <f>+'Distribucion Programas I'!F72</f>
        <v>0</v>
      </c>
      <c r="D72" s="193">
        <f>+'Distribucion Programas II '!Q74</f>
        <v>3139974.0000000005</v>
      </c>
      <c r="E72" s="193"/>
      <c r="F72" s="191" t="e">
        <f>#N/A</f>
        <v>#N/A</v>
      </c>
    </row>
    <row r="73" spans="1:6" ht="15.75" customHeight="1">
      <c r="A73" s="184" t="s">
        <v>484</v>
      </c>
      <c r="B73" s="184" t="s">
        <v>483</v>
      </c>
      <c r="C73" s="193">
        <f>+'Distribucion Programas I'!F73</f>
        <v>0</v>
      </c>
      <c r="D73" s="193">
        <f>+'Distribucion Programas II '!Q75</f>
        <v>0</v>
      </c>
      <c r="E73" s="193"/>
      <c r="F73" s="191" t="e">
        <f>#N/A</f>
        <v>#N/A</v>
      </c>
    </row>
    <row r="74" spans="1:6" ht="15.75" customHeight="1">
      <c r="A74" s="184"/>
      <c r="B74" s="184"/>
      <c r="C74" s="193"/>
      <c r="D74" s="193">
        <f>+'Distribucion Programas II '!Q76</f>
        <v>3096400.51</v>
      </c>
      <c r="E74" s="193"/>
      <c r="F74" s="191" t="e">
        <f>#N/A</f>
        <v>#N/A</v>
      </c>
    </row>
    <row r="75" spans="1:6" ht="15.75" customHeight="1">
      <c r="A75" s="181" t="s">
        <v>231</v>
      </c>
      <c r="B75" s="181" t="s">
        <v>232</v>
      </c>
      <c r="C75" s="193">
        <f>SUM(C76:C82)</f>
        <v>1000000</v>
      </c>
      <c r="D75" s="193">
        <f>+'Distribucion Programas II '!Q76</f>
        <v>3096400.51</v>
      </c>
      <c r="E75" s="193">
        <f>SUM(E76:E82)</f>
        <v>0</v>
      </c>
      <c r="F75" s="191" t="e">
        <f>#N/A</f>
        <v>#N/A</v>
      </c>
    </row>
    <row r="76" spans="1:6" ht="15.75" customHeight="1">
      <c r="A76" s="184" t="s">
        <v>485</v>
      </c>
      <c r="B76" s="184" t="s">
        <v>492</v>
      </c>
      <c r="C76" s="193">
        <f>+'Distribucion Programas I'!F76</f>
        <v>0</v>
      </c>
      <c r="D76" s="193">
        <f>+'Distribucion Programas II '!Q77</f>
        <v>0</v>
      </c>
      <c r="E76" s="193"/>
      <c r="F76" s="191" t="e">
        <f>#N/A</f>
        <v>#N/A</v>
      </c>
    </row>
    <row r="77" spans="1:6" ht="15.75" customHeight="1">
      <c r="A77" s="184" t="s">
        <v>486</v>
      </c>
      <c r="B77" s="184" t="s">
        <v>493</v>
      </c>
      <c r="C77" s="193">
        <f>+'Distribucion Programas I'!F77</f>
        <v>1000000</v>
      </c>
      <c r="D77" s="193">
        <f>+'Distribucion Programas II '!Q78</f>
        <v>2796400.51</v>
      </c>
      <c r="E77" s="193"/>
      <c r="F77" s="191" t="e">
        <f>#N/A</f>
        <v>#N/A</v>
      </c>
    </row>
    <row r="78" spans="1:6" ht="15.75" customHeight="1">
      <c r="A78" s="184" t="s">
        <v>487</v>
      </c>
      <c r="B78" s="184" t="s">
        <v>494</v>
      </c>
      <c r="C78" s="193">
        <f>+'Distribucion Programas I'!F78</f>
        <v>0</v>
      </c>
      <c r="D78" s="193">
        <f>+'Distribucion Programas II '!Q79</f>
        <v>0</v>
      </c>
      <c r="E78" s="193"/>
      <c r="F78" s="191" t="e">
        <f>#N/A</f>
        <v>#N/A</v>
      </c>
    </row>
    <row r="79" spans="1:6" ht="15.75" customHeight="1">
      <c r="A79" s="184" t="s">
        <v>488</v>
      </c>
      <c r="B79" s="184" t="s">
        <v>495</v>
      </c>
      <c r="C79" s="193">
        <f>+'Distribucion Programas I'!F79</f>
        <v>0</v>
      </c>
      <c r="D79" s="193">
        <f>+'Distribucion Programas II '!Q80</f>
        <v>0</v>
      </c>
      <c r="E79" s="193"/>
      <c r="F79" s="191" t="e">
        <f>#N/A</f>
        <v>#N/A</v>
      </c>
    </row>
    <row r="80" spans="1:6" ht="15.75" customHeight="1">
      <c r="A80" s="184" t="s">
        <v>489</v>
      </c>
      <c r="B80" s="184" t="s">
        <v>496</v>
      </c>
      <c r="C80" s="193">
        <f>+'Distribucion Programas I'!F80</f>
        <v>0</v>
      </c>
      <c r="D80" s="193">
        <f>+'Distribucion Programas II '!Q81</f>
        <v>0</v>
      </c>
      <c r="E80" s="193"/>
      <c r="F80" s="191" t="e">
        <f>#N/A</f>
        <v>#N/A</v>
      </c>
    </row>
    <row r="81" spans="1:7" ht="15.75" customHeight="1">
      <c r="A81" s="184" t="s">
        <v>490</v>
      </c>
      <c r="B81" s="184" t="s">
        <v>497</v>
      </c>
      <c r="C81" s="193">
        <f>+'Distribucion Programas I'!F81</f>
        <v>0</v>
      </c>
      <c r="D81" s="193">
        <f>+'Distribucion Programas II '!Q82</f>
        <v>300000</v>
      </c>
      <c r="E81" s="193"/>
      <c r="F81" s="191" t="e">
        <f>#N/A</f>
        <v>#N/A</v>
      </c>
    </row>
    <row r="82" spans="1:7" ht="15.75" customHeight="1">
      <c r="A82" s="184" t="s">
        <v>491</v>
      </c>
      <c r="B82" s="184" t="s">
        <v>498</v>
      </c>
      <c r="C82" s="193">
        <f>+'Distribucion Programas I'!F82</f>
        <v>0</v>
      </c>
      <c r="D82" s="193">
        <f>+'Distribucion Programas II '!Q83</f>
        <v>0</v>
      </c>
      <c r="E82" s="193"/>
      <c r="F82" s="191" t="e">
        <f>#N/A</f>
        <v>#N/A</v>
      </c>
    </row>
    <row r="83" spans="1:7" ht="15.75" customHeight="1">
      <c r="A83" s="183"/>
      <c r="B83" s="186"/>
      <c r="C83" s="193"/>
      <c r="D83" s="193">
        <f>+'Distribucion Programas II '!Q84</f>
        <v>0</v>
      </c>
      <c r="E83" s="193"/>
      <c r="F83" s="191" t="e">
        <f>#N/A</f>
        <v>#N/A</v>
      </c>
    </row>
    <row r="84" spans="1:7" ht="15.75" customHeight="1">
      <c r="A84" s="181" t="s">
        <v>233</v>
      </c>
      <c r="B84" s="181" t="s">
        <v>234</v>
      </c>
      <c r="C84" s="193">
        <f>SUM(C85:C88)</f>
        <v>6600000</v>
      </c>
      <c r="D84" s="193">
        <f>+'Distribucion Programas II '!Q85</f>
        <v>7956892.4000000004</v>
      </c>
      <c r="E84" s="193">
        <f>SUM(E85:E88)</f>
        <v>0</v>
      </c>
      <c r="F84" s="191" t="e">
        <f>#N/A</f>
        <v>#N/A</v>
      </c>
    </row>
    <row r="85" spans="1:7" ht="15.75" customHeight="1">
      <c r="A85" s="184" t="s">
        <v>499</v>
      </c>
      <c r="B85" s="184" t="s">
        <v>503</v>
      </c>
      <c r="C85" s="193">
        <f>+'Distribucion Programas I'!F85</f>
        <v>2000000</v>
      </c>
      <c r="D85" s="193">
        <f>+'Distribucion Programas II '!Q86</f>
        <v>536000</v>
      </c>
      <c r="E85" s="193"/>
      <c r="F85" s="191" t="e">
        <f>#N/A</f>
        <v>#N/A</v>
      </c>
    </row>
    <row r="86" spans="1:7" ht="15.75" customHeight="1">
      <c r="A86" s="184" t="s">
        <v>500</v>
      </c>
      <c r="B86" s="184" t="s">
        <v>504</v>
      </c>
      <c r="C86" s="193">
        <f>+'Distribucion Programas I'!F86</f>
        <v>4600000</v>
      </c>
      <c r="D86" s="193">
        <f>+'Distribucion Programas II '!Q87</f>
        <v>7420892.4000000004</v>
      </c>
      <c r="E86" s="193"/>
      <c r="F86" s="191" t="e">
        <f>#N/A</f>
        <v>#N/A</v>
      </c>
    </row>
    <row r="87" spans="1:7" ht="15.75" customHeight="1">
      <c r="A87" s="184" t="s">
        <v>501</v>
      </c>
      <c r="B87" s="184" t="s">
        <v>505</v>
      </c>
      <c r="C87" s="193">
        <f>+'Distribucion Programas I'!F87</f>
        <v>0</v>
      </c>
      <c r="D87" s="193">
        <f>+'Distribucion Programas II '!Q88</f>
        <v>0</v>
      </c>
      <c r="E87" s="193"/>
      <c r="F87" s="191" t="e">
        <f>#N/A</f>
        <v>#N/A</v>
      </c>
    </row>
    <row r="88" spans="1:7" ht="15.75" customHeight="1">
      <c r="A88" s="184" t="s">
        <v>502</v>
      </c>
      <c r="B88" s="184" t="s">
        <v>506</v>
      </c>
      <c r="C88" s="193">
        <f>+'Distribucion Programas I'!F88</f>
        <v>0</v>
      </c>
      <c r="D88" s="193">
        <f>+'Distribucion Programas II '!Q89</f>
        <v>0</v>
      </c>
      <c r="E88" s="193"/>
      <c r="F88" s="191" t="e">
        <f>#N/A</f>
        <v>#N/A</v>
      </c>
    </row>
    <row r="89" spans="1:7" ht="15.75" customHeight="1">
      <c r="A89" s="183"/>
      <c r="B89" s="186"/>
      <c r="C89" s="193"/>
      <c r="D89" s="193">
        <f>+'Distribucion Programas II '!Q90</f>
        <v>0</v>
      </c>
      <c r="E89" s="193"/>
      <c r="F89" s="191" t="e">
        <f>#N/A</f>
        <v>#N/A</v>
      </c>
    </row>
    <row r="90" spans="1:7" ht="15.75" customHeight="1">
      <c r="A90" s="189" t="s">
        <v>235</v>
      </c>
      <c r="B90" s="189" t="s">
        <v>236</v>
      </c>
      <c r="C90" s="205">
        <f>SUM(C91:C93)</f>
        <v>7053630.6903742719</v>
      </c>
      <c r="D90" s="193">
        <f>+'Distribucion Programas II '!Q91</f>
        <v>8354715.7909225095</v>
      </c>
      <c r="E90" s="205">
        <f>SUM(E91:E93)</f>
        <v>0</v>
      </c>
      <c r="F90" s="191" t="e">
        <f>#N/A</f>
        <v>#N/A</v>
      </c>
    </row>
    <row r="91" spans="1:7" ht="15.75" customHeight="1">
      <c r="A91" s="184" t="s">
        <v>507</v>
      </c>
      <c r="B91" s="184" t="s">
        <v>512</v>
      </c>
      <c r="C91" s="193">
        <f>(+C11+C12+C13+C14+C15+C18+C19+C20+C25+C26)*3%</f>
        <v>7053630.6903742719</v>
      </c>
      <c r="D91" s="193">
        <f>+'Distribucion Programas II '!Q92</f>
        <v>8354715.7909225095</v>
      </c>
      <c r="E91" s="193"/>
      <c r="F91" s="191" t="e">
        <f>#N/A</f>
        <v>#N/A</v>
      </c>
      <c r="G91" s="213"/>
    </row>
    <row r="92" spans="1:7" ht="15.75" customHeight="1">
      <c r="A92" s="184" t="s">
        <v>508</v>
      </c>
      <c r="B92" s="184" t="s">
        <v>513</v>
      </c>
      <c r="C92" s="193">
        <f>+'Distribucion Programas I'!F92</f>
        <v>0</v>
      </c>
      <c r="D92" s="193">
        <f>+'Distribucion Programas II '!Q93</f>
        <v>0</v>
      </c>
      <c r="E92" s="193"/>
      <c r="F92" s="191" t="e">
        <f>#N/A</f>
        <v>#N/A</v>
      </c>
    </row>
    <row r="93" spans="1:7" ht="15.75" customHeight="1">
      <c r="A93" s="188" t="s">
        <v>511</v>
      </c>
      <c r="B93" s="355" t="s">
        <v>514</v>
      </c>
      <c r="C93" s="193">
        <f>+'Distribucion Programas I'!F93</f>
        <v>0</v>
      </c>
      <c r="D93" s="193">
        <f>+'Distribucion Programas II '!Q94</f>
        <v>0</v>
      </c>
      <c r="E93" s="307"/>
      <c r="F93" s="306" t="e">
        <f>#N/A</f>
        <v>#N/A</v>
      </c>
    </row>
    <row r="94" spans="1:7" ht="15.75" customHeight="1">
      <c r="A94" s="356"/>
      <c r="B94" s="308"/>
      <c r="C94" s="309"/>
      <c r="D94" s="193">
        <f>+'Distribucion Programas II '!Q95</f>
        <v>0</v>
      </c>
      <c r="E94" s="309"/>
      <c r="F94" s="201"/>
    </row>
    <row r="95" spans="1:7" ht="15.75" customHeight="1">
      <c r="A95" s="189" t="s">
        <v>238</v>
      </c>
      <c r="B95" s="189" t="s">
        <v>239</v>
      </c>
      <c r="C95" s="205">
        <f>SUM(C96:C98)</f>
        <v>0</v>
      </c>
      <c r="D95" s="193">
        <f>+'Distribucion Programas II '!Q96</f>
        <v>668511.54</v>
      </c>
      <c r="E95" s="205">
        <f>SUM(E96:E98)</f>
        <v>0</v>
      </c>
      <c r="F95" s="201" t="e">
        <f>#N/A</f>
        <v>#N/A</v>
      </c>
    </row>
    <row r="96" spans="1:7" ht="15.75" customHeight="1">
      <c r="A96" s="184" t="s">
        <v>515</v>
      </c>
      <c r="B96" s="184" t="s">
        <v>518</v>
      </c>
      <c r="C96" s="193">
        <f>+'Distribucion Programas I'!F96</f>
        <v>0</v>
      </c>
      <c r="D96" s="193">
        <f>+'Distribucion Programas II '!Q97</f>
        <v>668511.54</v>
      </c>
      <c r="E96" s="193"/>
      <c r="F96" s="191" t="e">
        <f>#N/A</f>
        <v>#N/A</v>
      </c>
    </row>
    <row r="97" spans="1:6" ht="15.75" customHeight="1">
      <c r="A97" s="184" t="s">
        <v>516</v>
      </c>
      <c r="B97" s="184" t="s">
        <v>519</v>
      </c>
      <c r="C97" s="193">
        <f>+'Distribucion Programas I'!F97</f>
        <v>0</v>
      </c>
      <c r="D97" s="193">
        <f>+'Distribucion Programas II '!Q98</f>
        <v>0</v>
      </c>
      <c r="E97" s="193"/>
      <c r="F97" s="191" t="e">
        <f>#N/A</f>
        <v>#N/A</v>
      </c>
    </row>
    <row r="98" spans="1:6" ht="15.75" customHeight="1">
      <c r="A98" s="184" t="s">
        <v>517</v>
      </c>
      <c r="B98" s="184" t="s">
        <v>520</v>
      </c>
      <c r="C98" s="193">
        <f>+'Distribucion Programas I'!F98</f>
        <v>0</v>
      </c>
      <c r="D98" s="193">
        <f>+'Distribucion Programas II '!Q99</f>
        <v>0</v>
      </c>
      <c r="E98" s="193"/>
      <c r="F98" s="191" t="e">
        <f>#N/A</f>
        <v>#N/A</v>
      </c>
    </row>
    <row r="99" spans="1:6" ht="15.75" customHeight="1">
      <c r="A99" s="183"/>
      <c r="B99" s="186"/>
      <c r="C99" s="193"/>
      <c r="D99" s="193">
        <f>+'Distribucion Programas II '!Q100</f>
        <v>0</v>
      </c>
      <c r="E99" s="193"/>
      <c r="F99" s="191" t="e">
        <f>#N/A</f>
        <v>#N/A</v>
      </c>
    </row>
    <row r="100" spans="1:6" ht="15.75" customHeight="1">
      <c r="A100" s="181" t="s">
        <v>240</v>
      </c>
      <c r="B100" s="181" t="s">
        <v>241</v>
      </c>
      <c r="C100" s="193">
        <f>SUM(C101:C109)</f>
        <v>0</v>
      </c>
      <c r="D100" s="193">
        <f>+'Distribucion Programas II '!Q101</f>
        <v>10455253.140000001</v>
      </c>
      <c r="E100" s="193">
        <f>SUM(E101:E109)</f>
        <v>0</v>
      </c>
      <c r="F100" s="191" t="e">
        <f>#N/A</f>
        <v>#N/A</v>
      </c>
    </row>
    <row r="101" spans="1:6" ht="15.75" customHeight="1">
      <c r="A101" s="184" t="s">
        <v>521</v>
      </c>
      <c r="B101" s="184" t="s">
        <v>530</v>
      </c>
      <c r="C101" s="193">
        <f>+'Distribucion Programas I'!F101</f>
        <v>0</v>
      </c>
      <c r="D101" s="193">
        <f>+'Distribucion Programas II '!Q102</f>
        <v>2850000</v>
      </c>
      <c r="E101" s="193"/>
      <c r="F101" s="191" t="e">
        <f>#N/A</f>
        <v>#N/A</v>
      </c>
    </row>
    <row r="102" spans="1:6" ht="15.75" customHeight="1">
      <c r="A102" s="184" t="s">
        <v>522</v>
      </c>
      <c r="B102" s="184" t="s">
        <v>531</v>
      </c>
      <c r="C102" s="193">
        <f>+'Distribucion Programas I'!F102</f>
        <v>0</v>
      </c>
      <c r="D102" s="193">
        <f>+'Distribucion Programas II '!Q103</f>
        <v>0</v>
      </c>
      <c r="E102" s="193"/>
      <c r="F102" s="191" t="e">
        <f>#N/A</f>
        <v>#N/A</v>
      </c>
    </row>
    <row r="103" spans="1:6" ht="15.75" customHeight="1">
      <c r="A103" s="184" t="s">
        <v>523</v>
      </c>
      <c r="B103" s="184" t="s">
        <v>532</v>
      </c>
      <c r="C103" s="193">
        <f>+'Distribucion Programas I'!F103</f>
        <v>0</v>
      </c>
      <c r="D103" s="193">
        <f>+'Distribucion Programas II '!Q104</f>
        <v>0</v>
      </c>
      <c r="E103" s="193"/>
      <c r="F103" s="191" t="e">
        <f>#N/A</f>
        <v>#N/A</v>
      </c>
    </row>
    <row r="104" spans="1:6" ht="15.75" customHeight="1">
      <c r="A104" s="184" t="s">
        <v>524</v>
      </c>
      <c r="B104" s="184" t="s">
        <v>534</v>
      </c>
      <c r="C104" s="193">
        <f>+'Distribucion Programas I'!F104</f>
        <v>0</v>
      </c>
      <c r="D104" s="193">
        <f>+'Distribucion Programas II '!Q105</f>
        <v>5305253.1400000006</v>
      </c>
      <c r="E104" s="193"/>
      <c r="F104" s="191" t="e">
        <f>#N/A</f>
        <v>#N/A</v>
      </c>
    </row>
    <row r="105" spans="1:6" ht="15.75" customHeight="1">
      <c r="A105" s="184" t="s">
        <v>525</v>
      </c>
      <c r="B105" s="184" t="s">
        <v>533</v>
      </c>
      <c r="C105" s="193">
        <f>+'Distribucion Programas I'!F105</f>
        <v>0</v>
      </c>
      <c r="D105" s="193">
        <f>+'Distribucion Programas II '!Q106</f>
        <v>500000</v>
      </c>
      <c r="E105" s="193"/>
      <c r="F105" s="191" t="e">
        <f>#N/A</f>
        <v>#N/A</v>
      </c>
    </row>
    <row r="106" spans="1:6" ht="15.75" customHeight="1">
      <c r="A106" s="184" t="s">
        <v>526</v>
      </c>
      <c r="B106" s="184" t="s">
        <v>538</v>
      </c>
      <c r="C106" s="193">
        <f>+'Distribucion Programas I'!F106</f>
        <v>0</v>
      </c>
      <c r="D106" s="193">
        <f>+'Distribucion Programas II '!Q107</f>
        <v>0</v>
      </c>
      <c r="E106" s="193"/>
      <c r="F106" s="191" t="e">
        <f>#N/A</f>
        <v>#N/A</v>
      </c>
    </row>
    <row r="107" spans="1:6" ht="15.75" customHeight="1">
      <c r="A107" s="184" t="s">
        <v>527</v>
      </c>
      <c r="B107" s="184" t="s">
        <v>535</v>
      </c>
      <c r="C107" s="193">
        <f>+'Distribucion Programas I'!F107</f>
        <v>0</v>
      </c>
      <c r="D107" s="193">
        <f>+'Distribucion Programas II '!Q108</f>
        <v>800000</v>
      </c>
      <c r="E107" s="193"/>
      <c r="F107" s="191" t="e">
        <f>#N/A</f>
        <v>#N/A</v>
      </c>
    </row>
    <row r="108" spans="1:6" ht="26.25" customHeight="1">
      <c r="A108" s="184" t="s">
        <v>528</v>
      </c>
      <c r="B108" s="184" t="s">
        <v>536</v>
      </c>
      <c r="C108" s="193">
        <f>+'Distribucion Programas I'!F108</f>
        <v>0</v>
      </c>
      <c r="D108" s="193">
        <f>+'Distribucion Programas II '!Q109</f>
        <v>1000000</v>
      </c>
      <c r="E108" s="193"/>
      <c r="F108" s="191" t="e">
        <f>#N/A</f>
        <v>#N/A</v>
      </c>
    </row>
    <row r="109" spans="1:6" ht="15.75" customHeight="1">
      <c r="A109" s="184" t="s">
        <v>529</v>
      </c>
      <c r="B109" s="184" t="s">
        <v>537</v>
      </c>
      <c r="C109" s="193">
        <f>+'Distribucion Programas I'!F109</f>
        <v>0</v>
      </c>
      <c r="D109" s="193">
        <f>+'Distribucion Programas II '!Q110</f>
        <v>0</v>
      </c>
      <c r="E109" s="193"/>
      <c r="F109" s="191" t="e">
        <f>#N/A</f>
        <v>#N/A</v>
      </c>
    </row>
    <row r="110" spans="1:6" ht="15.75" customHeight="1">
      <c r="A110" s="183"/>
      <c r="B110" s="186"/>
      <c r="C110" s="193"/>
      <c r="D110" s="193">
        <f>+'Distribucion Programas II '!Q111</f>
        <v>0</v>
      </c>
      <c r="E110" s="193"/>
      <c r="F110" s="191" t="e">
        <f>#N/A</f>
        <v>#N/A</v>
      </c>
    </row>
    <row r="111" spans="1:6" ht="15.75" customHeight="1">
      <c r="A111" s="181" t="s">
        <v>242</v>
      </c>
      <c r="B111" s="181" t="s">
        <v>243</v>
      </c>
      <c r="C111" s="193">
        <f>SUM(C112:C115)</f>
        <v>100000</v>
      </c>
      <c r="D111" s="193">
        <f>+'Distribucion Programas II '!Q112</f>
        <v>250000</v>
      </c>
      <c r="E111" s="193">
        <f>SUM(E112:E115)</f>
        <v>0</v>
      </c>
      <c r="F111" s="191" t="e">
        <f>#N/A</f>
        <v>#N/A</v>
      </c>
    </row>
    <row r="112" spans="1:6" ht="15.75" customHeight="1">
      <c r="A112" s="184" t="s">
        <v>539</v>
      </c>
      <c r="B112" s="184" t="s">
        <v>543</v>
      </c>
      <c r="C112" s="193">
        <f>+'Distribucion Programas I'!F112</f>
        <v>0</v>
      </c>
      <c r="D112" s="193">
        <f>+'Distribucion Programas II '!Q113</f>
        <v>0</v>
      </c>
      <c r="E112" s="193"/>
      <c r="F112" s="191" t="e">
        <f>#N/A</f>
        <v>#N/A</v>
      </c>
    </row>
    <row r="113" spans="1:6" ht="15.75" customHeight="1">
      <c r="A113" s="184" t="s">
        <v>540</v>
      </c>
      <c r="B113" s="184" t="s">
        <v>544</v>
      </c>
      <c r="C113" s="193">
        <f>+'Distribucion Programas I'!F113</f>
        <v>0</v>
      </c>
      <c r="D113" s="193">
        <f>+'Distribucion Programas II '!Q114</f>
        <v>0</v>
      </c>
      <c r="E113" s="193"/>
      <c r="F113" s="191" t="e">
        <f>#N/A</f>
        <v>#N/A</v>
      </c>
    </row>
    <row r="114" spans="1:6" ht="15.75" customHeight="1">
      <c r="A114" s="184" t="s">
        <v>541</v>
      </c>
      <c r="B114" s="184" t="s">
        <v>545</v>
      </c>
      <c r="C114" s="193">
        <f>+'Distribucion Programas I'!F114</f>
        <v>0</v>
      </c>
      <c r="D114" s="193">
        <f>+'Distribucion Programas II '!Q115</f>
        <v>0</v>
      </c>
      <c r="E114" s="193"/>
      <c r="F114" s="191" t="e">
        <f>#N/A</f>
        <v>#N/A</v>
      </c>
    </row>
    <row r="115" spans="1:6" ht="15.75" customHeight="1">
      <c r="A115" s="184" t="s">
        <v>542</v>
      </c>
      <c r="B115" s="184" t="s">
        <v>546</v>
      </c>
      <c r="C115" s="193">
        <f>+'Distribucion Programas I'!F115</f>
        <v>100000</v>
      </c>
      <c r="D115" s="193">
        <f>+'Distribucion Programas II '!Q116</f>
        <v>250000</v>
      </c>
      <c r="E115" s="193"/>
      <c r="F115" s="191" t="e">
        <f>#N/A</f>
        <v>#N/A</v>
      </c>
    </row>
    <row r="116" spans="1:6" ht="15.75" customHeight="1">
      <c r="A116" s="183"/>
      <c r="B116" s="186"/>
      <c r="C116" s="193"/>
      <c r="D116" s="193">
        <f>+'Distribucion Programas II '!Q117</f>
        <v>0</v>
      </c>
      <c r="E116" s="193"/>
      <c r="F116" s="191" t="e">
        <f>#N/A</f>
        <v>#N/A</v>
      </c>
    </row>
    <row r="117" spans="1:6" ht="15.75" customHeight="1">
      <c r="A117" s="181" t="s">
        <v>244</v>
      </c>
      <c r="B117" s="181" t="s">
        <v>245</v>
      </c>
      <c r="C117" s="193">
        <f>SUM(C118:C123)</f>
        <v>500000</v>
      </c>
      <c r="D117" s="193">
        <f>+'Distribucion Programas II '!Q118</f>
        <v>1350000</v>
      </c>
      <c r="E117" s="193">
        <f>SUM(E118:E123)</f>
        <v>0</v>
      </c>
      <c r="F117" s="191" t="e">
        <f>#N/A</f>
        <v>#N/A</v>
      </c>
    </row>
    <row r="118" spans="1:6" ht="15.75" customHeight="1">
      <c r="A118" s="184" t="s">
        <v>547</v>
      </c>
      <c r="B118" s="184" t="s">
        <v>555</v>
      </c>
      <c r="C118" s="193">
        <f>+'Distribucion Programas I'!F118</f>
        <v>0</v>
      </c>
      <c r="D118" s="193">
        <f>+'Distribucion Programas II '!Q119</f>
        <v>0</v>
      </c>
      <c r="E118" s="193"/>
      <c r="F118" s="191" t="e">
        <f>#N/A</f>
        <v>#N/A</v>
      </c>
    </row>
    <row r="119" spans="1:6" ht="15.75" customHeight="1">
      <c r="A119" s="184" t="s">
        <v>549</v>
      </c>
      <c r="B119" s="184" t="s">
        <v>556</v>
      </c>
      <c r="C119" s="193">
        <f>+'Distribucion Programas I'!F119</f>
        <v>0</v>
      </c>
      <c r="D119" s="193">
        <f>+'Distribucion Programas II '!Q120</f>
        <v>0</v>
      </c>
      <c r="E119" s="193"/>
      <c r="F119" s="191" t="e">
        <f>#N/A</f>
        <v>#N/A</v>
      </c>
    </row>
    <row r="120" spans="1:6" ht="15.75" customHeight="1">
      <c r="A120" s="184" t="s">
        <v>550</v>
      </c>
      <c r="B120" s="184" t="s">
        <v>557</v>
      </c>
      <c r="C120" s="193">
        <f>+'Distribucion Programas I'!F120</f>
        <v>0</v>
      </c>
      <c r="D120" s="193">
        <f>+'Distribucion Programas II '!Q121</f>
        <v>0</v>
      </c>
      <c r="E120" s="193"/>
      <c r="F120" s="191" t="e">
        <f>#N/A</f>
        <v>#N/A</v>
      </c>
    </row>
    <row r="121" spans="1:6" ht="15.75" customHeight="1">
      <c r="A121" s="184" t="s">
        <v>551</v>
      </c>
      <c r="B121" s="184" t="s">
        <v>558</v>
      </c>
      <c r="C121" s="193">
        <f>+'Distribucion Programas I'!F121</f>
        <v>0</v>
      </c>
      <c r="D121" s="193">
        <f>+'Distribucion Programas II '!Q122</f>
        <v>0</v>
      </c>
      <c r="E121" s="193"/>
      <c r="F121" s="191" t="e">
        <f>#N/A</f>
        <v>#N/A</v>
      </c>
    </row>
    <row r="122" spans="1:6" ht="15.75" customHeight="1">
      <c r="A122" s="184" t="s">
        <v>552</v>
      </c>
      <c r="B122" s="184" t="s">
        <v>559</v>
      </c>
      <c r="C122" s="193">
        <f>+'Distribucion Programas I'!F122</f>
        <v>500000</v>
      </c>
      <c r="D122" s="193">
        <f>+'Distribucion Programas II '!Q123</f>
        <v>1350000</v>
      </c>
      <c r="E122" s="193"/>
      <c r="F122" s="191" t="e">
        <f>#N/A</f>
        <v>#N/A</v>
      </c>
    </row>
    <row r="123" spans="1:6" ht="15.75" customHeight="1">
      <c r="A123" s="184" t="s">
        <v>553</v>
      </c>
      <c r="B123" s="184" t="s">
        <v>560</v>
      </c>
      <c r="C123" s="193">
        <f>+'Distribucion Programas I'!F123</f>
        <v>0</v>
      </c>
      <c r="D123" s="193">
        <f>+'Distribucion Programas II '!Q124</f>
        <v>0</v>
      </c>
      <c r="E123" s="193"/>
      <c r="F123" s="191" t="e">
        <f>#N/A</f>
        <v>#N/A</v>
      </c>
    </row>
    <row r="124" spans="1:6" ht="15.75" customHeight="1">
      <c r="A124" s="183"/>
      <c r="B124" s="186"/>
      <c r="C124" s="193"/>
      <c r="D124" s="193">
        <f>+'Distribucion Programas II '!Q125</f>
        <v>0</v>
      </c>
      <c r="E124" s="193"/>
      <c r="F124" s="191" t="e">
        <f>#N/A</f>
        <v>#N/A</v>
      </c>
    </row>
    <row r="125" spans="1:6" ht="15.75" customHeight="1">
      <c r="A125" s="181">
        <v>2</v>
      </c>
      <c r="B125" s="181" t="s">
        <v>561</v>
      </c>
      <c r="C125" s="193">
        <f>+C126+C133+C140+C149+C153+C159</f>
        <v>4253306.5999999996</v>
      </c>
      <c r="D125" s="193">
        <f>+'Distribucion Programas II '!Q126</f>
        <v>76329067.120000005</v>
      </c>
      <c r="E125" s="193">
        <f>+E126+E133+E140+E149+E153+E159</f>
        <v>0</v>
      </c>
      <c r="F125" s="191" t="e">
        <f>#N/A</f>
        <v>#N/A</v>
      </c>
    </row>
    <row r="126" spans="1:6" ht="15.75" customHeight="1">
      <c r="A126" s="181" t="s">
        <v>246</v>
      </c>
      <c r="B126" s="181" t="s">
        <v>247</v>
      </c>
      <c r="C126" s="193">
        <f>SUM(C127:C131)</f>
        <v>1150000</v>
      </c>
      <c r="D126" s="193">
        <f>+'Distribucion Programas II '!Q127</f>
        <v>24882051.650000002</v>
      </c>
      <c r="E126" s="193">
        <f>SUM(E127:E131)</f>
        <v>0</v>
      </c>
      <c r="F126" s="191" t="e">
        <f>#N/A</f>
        <v>#N/A</v>
      </c>
    </row>
    <row r="127" spans="1:6" ht="15.75" customHeight="1">
      <c r="A127" s="184" t="s">
        <v>562</v>
      </c>
      <c r="B127" s="184" t="s">
        <v>581</v>
      </c>
      <c r="C127" s="193">
        <f>+'Distribucion Programas I'!F127</f>
        <v>500000</v>
      </c>
      <c r="D127" s="193">
        <f>+'Distribucion Programas II '!Q128</f>
        <v>22482051.650000002</v>
      </c>
      <c r="E127" s="193"/>
      <c r="F127" s="191" t="e">
        <f>#N/A</f>
        <v>#N/A</v>
      </c>
    </row>
    <row r="128" spans="1:6" ht="15.75" customHeight="1">
      <c r="A128" s="184" t="s">
        <v>563</v>
      </c>
      <c r="B128" s="184" t="s">
        <v>582</v>
      </c>
      <c r="C128" s="193">
        <f>+'Distribucion Programas I'!F128</f>
        <v>0</v>
      </c>
      <c r="D128" s="193">
        <f>+'Distribucion Programas II '!Q129</f>
        <v>400000</v>
      </c>
      <c r="E128" s="193"/>
      <c r="F128" s="191" t="e">
        <f>#N/A</f>
        <v>#N/A</v>
      </c>
    </row>
    <row r="129" spans="1:6" ht="15.75" customHeight="1">
      <c r="A129" s="184" t="s">
        <v>564</v>
      </c>
      <c r="B129" s="184" t="s">
        <v>583</v>
      </c>
      <c r="C129" s="193">
        <f>+'Distribucion Programas I'!F129</f>
        <v>0</v>
      </c>
      <c r="D129" s="193">
        <f>+'Distribucion Programas II '!Q130</f>
        <v>0</v>
      </c>
      <c r="E129" s="193"/>
      <c r="F129" s="191" t="e">
        <f>#N/A</f>
        <v>#N/A</v>
      </c>
    </row>
    <row r="130" spans="1:6" ht="15.75" customHeight="1">
      <c r="A130" s="184" t="s">
        <v>579</v>
      </c>
      <c r="B130" s="184" t="s">
        <v>584</v>
      </c>
      <c r="C130" s="193">
        <f>+'Distribucion Programas I'!F130</f>
        <v>650000</v>
      </c>
      <c r="D130" s="193">
        <f>+'Distribucion Programas II '!Q131</f>
        <v>2000000</v>
      </c>
      <c r="E130" s="193"/>
      <c r="F130" s="191" t="e">
        <f>#N/A</f>
        <v>#N/A</v>
      </c>
    </row>
    <row r="131" spans="1:6" ht="15.75" customHeight="1">
      <c r="A131" s="184" t="s">
        <v>580</v>
      </c>
      <c r="B131" s="184" t="s">
        <v>585</v>
      </c>
      <c r="C131" s="193">
        <f>+'Distribucion Programas I'!F131</f>
        <v>0</v>
      </c>
      <c r="D131" s="193">
        <f>+'Distribucion Programas II '!Q132</f>
        <v>0</v>
      </c>
      <c r="E131" s="193"/>
      <c r="F131" s="191" t="e">
        <f>#N/A</f>
        <v>#N/A</v>
      </c>
    </row>
    <row r="132" spans="1:6" ht="15.75" customHeight="1">
      <c r="A132" s="184"/>
      <c r="B132" s="184"/>
      <c r="C132" s="193"/>
      <c r="D132" s="193">
        <f>+'Distribucion Programas II '!Q133</f>
        <v>0</v>
      </c>
      <c r="E132" s="193"/>
      <c r="F132" s="191"/>
    </row>
    <row r="133" spans="1:6" ht="15.75" customHeight="1">
      <c r="A133" s="189" t="s">
        <v>248</v>
      </c>
      <c r="B133" s="189" t="s">
        <v>249</v>
      </c>
      <c r="C133" s="205">
        <f>SUM(C134:C137)</f>
        <v>500000</v>
      </c>
      <c r="D133" s="193">
        <f>+'Distribucion Programas II '!Q134</f>
        <v>22723297.050000001</v>
      </c>
      <c r="E133" s="205">
        <f>SUM(E134:E137)</f>
        <v>0</v>
      </c>
      <c r="F133" s="201" t="e">
        <f>#N/A</f>
        <v>#N/A</v>
      </c>
    </row>
    <row r="134" spans="1:6" ht="15.75" customHeight="1">
      <c r="A134" s="184" t="s">
        <v>590</v>
      </c>
      <c r="B134" s="184" t="s">
        <v>586</v>
      </c>
      <c r="C134" s="193">
        <f>+'Distribucion Programas I'!F134</f>
        <v>0</v>
      </c>
      <c r="D134" s="193">
        <f>+'Distribucion Programas II '!Q135</f>
        <v>0</v>
      </c>
      <c r="E134" s="193"/>
      <c r="F134" s="191" t="e">
        <f>#N/A</f>
        <v>#N/A</v>
      </c>
    </row>
    <row r="135" spans="1:6" ht="15.75" customHeight="1">
      <c r="A135" s="184" t="s">
        <v>591</v>
      </c>
      <c r="B135" s="184" t="s">
        <v>587</v>
      </c>
      <c r="C135" s="193">
        <f>+'Distribucion Programas I'!F135</f>
        <v>0</v>
      </c>
      <c r="D135" s="193">
        <f>+'Distribucion Programas II '!Q136</f>
        <v>540000</v>
      </c>
      <c r="E135" s="193"/>
      <c r="F135" s="191" t="e">
        <f>#N/A</f>
        <v>#N/A</v>
      </c>
    </row>
    <row r="136" spans="1:6" ht="15.75" customHeight="1">
      <c r="A136" s="184" t="s">
        <v>592</v>
      </c>
      <c r="B136" s="184" t="s">
        <v>588</v>
      </c>
      <c r="C136" s="193">
        <f>+'Distribucion Programas I'!F136</f>
        <v>500000</v>
      </c>
      <c r="D136" s="193">
        <f>+'Distribucion Programas II '!Q137</f>
        <v>22183297.050000001</v>
      </c>
      <c r="E136" s="193"/>
      <c r="F136" s="191" t="e">
        <f>#N/A</f>
        <v>#N/A</v>
      </c>
    </row>
    <row r="137" spans="1:6" ht="15.75" customHeight="1">
      <c r="A137" s="184" t="s">
        <v>593</v>
      </c>
      <c r="B137" s="184" t="s">
        <v>589</v>
      </c>
      <c r="C137" s="193">
        <f>+'Distribucion Programas I'!F137</f>
        <v>0</v>
      </c>
      <c r="D137" s="193">
        <f>+'Distribucion Programas II '!Q138</f>
        <v>0</v>
      </c>
      <c r="E137" s="193"/>
      <c r="F137" s="191" t="e">
        <f>#N/A</f>
        <v>#N/A</v>
      </c>
    </row>
    <row r="138" spans="1:6" ht="15.75" customHeight="1">
      <c r="A138" s="183"/>
      <c r="B138" s="186"/>
      <c r="C138" s="193">
        <f>+'Distribucion Programas I'!F138</f>
        <v>0</v>
      </c>
      <c r="D138" s="193">
        <f>+'Distribucion Programas II '!Q139</f>
        <v>0</v>
      </c>
      <c r="E138" s="193"/>
      <c r="F138" s="191" t="e">
        <f>#N/A</f>
        <v>#N/A</v>
      </c>
    </row>
    <row r="139" spans="1:6" ht="15.75" customHeight="1">
      <c r="A139" s="183"/>
      <c r="B139" s="186"/>
      <c r="C139" s="193"/>
      <c r="D139" s="193">
        <f>+'Distribucion Programas II '!Q140</f>
        <v>0</v>
      </c>
      <c r="E139" s="193"/>
      <c r="F139" s="191" t="e">
        <f>#N/A</f>
        <v>#N/A</v>
      </c>
    </row>
    <row r="140" spans="1:6" ht="31.5" customHeight="1">
      <c r="A140" s="181" t="s">
        <v>594</v>
      </c>
      <c r="B140" s="181" t="s">
        <v>595</v>
      </c>
      <c r="C140" s="193">
        <f>SUM(C141:C147)</f>
        <v>0</v>
      </c>
      <c r="D140" s="193">
        <f>+'Distribucion Programas II '!Q141</f>
        <v>2445000</v>
      </c>
      <c r="E140" s="193">
        <f>SUM(E141:E147)</f>
        <v>0</v>
      </c>
      <c r="F140" s="191" t="e">
        <f>#N/A</f>
        <v>#N/A</v>
      </c>
    </row>
    <row r="141" spans="1:6" ht="15.75" customHeight="1">
      <c r="A141" s="184" t="s">
        <v>596</v>
      </c>
      <c r="B141" s="184" t="s">
        <v>603</v>
      </c>
      <c r="C141" s="193">
        <f>+'Distribucion Programas I'!F141</f>
        <v>0</v>
      </c>
      <c r="D141" s="193">
        <f>+'Distribucion Programas II '!Q142</f>
        <v>600000</v>
      </c>
      <c r="E141" s="193"/>
      <c r="F141" s="191" t="e">
        <f>#N/A</f>
        <v>#N/A</v>
      </c>
    </row>
    <row r="142" spans="1:6" ht="15.75" customHeight="1">
      <c r="A142" s="184" t="s">
        <v>597</v>
      </c>
      <c r="B142" s="184" t="s">
        <v>604</v>
      </c>
      <c r="C142" s="193">
        <f>+'Distribucion Programas I'!F142</f>
        <v>0</v>
      </c>
      <c r="D142" s="193">
        <f>+'Distribucion Programas II '!Q143</f>
        <v>200000</v>
      </c>
      <c r="E142" s="193"/>
      <c r="F142" s="191" t="e">
        <f>#N/A</f>
        <v>#N/A</v>
      </c>
    </row>
    <row r="143" spans="1:6" ht="15.75" customHeight="1">
      <c r="A143" s="188" t="s">
        <v>598</v>
      </c>
      <c r="B143" s="188" t="s">
        <v>605</v>
      </c>
      <c r="C143" s="193">
        <f>+'Distribucion Programas I'!F143</f>
        <v>0</v>
      </c>
      <c r="D143" s="193">
        <f>+'Distribucion Programas II '!Q144</f>
        <v>100000</v>
      </c>
      <c r="E143" s="285"/>
      <c r="F143" s="306" t="e">
        <f>#N/A</f>
        <v>#N/A</v>
      </c>
    </row>
    <row r="144" spans="1:6" ht="15.75" customHeight="1">
      <c r="A144" s="203" t="s">
        <v>599</v>
      </c>
      <c r="B144" s="203" t="s">
        <v>606</v>
      </c>
      <c r="C144" s="193">
        <f>+'Distribucion Programas I'!F144</f>
        <v>0</v>
      </c>
      <c r="D144" s="193">
        <f>+'Distribucion Programas II '!Q145</f>
        <v>645000</v>
      </c>
      <c r="E144" s="205"/>
      <c r="F144" s="201" t="e">
        <f>#N/A</f>
        <v>#N/A</v>
      </c>
    </row>
    <row r="145" spans="1:6" ht="15.75" customHeight="1">
      <c r="A145" s="184" t="s">
        <v>600</v>
      </c>
      <c r="B145" s="184" t="s">
        <v>607</v>
      </c>
      <c r="C145" s="193">
        <f>+'Distribucion Programas I'!F145</f>
        <v>0</v>
      </c>
      <c r="D145" s="193">
        <f>+'Distribucion Programas II '!Q146</f>
        <v>600000</v>
      </c>
      <c r="E145" s="193"/>
      <c r="F145" s="191" t="e">
        <f>#N/A</f>
        <v>#N/A</v>
      </c>
    </row>
    <row r="146" spans="1:6" ht="15.75" customHeight="1">
      <c r="A146" s="184" t="s">
        <v>601</v>
      </c>
      <c r="B146" s="184" t="s">
        <v>608</v>
      </c>
      <c r="C146" s="193">
        <f>+'Distribucion Programas I'!F146</f>
        <v>0</v>
      </c>
      <c r="D146" s="193">
        <f>+'Distribucion Programas II '!Q147</f>
        <v>200000</v>
      </c>
      <c r="E146" s="193"/>
      <c r="F146" s="191" t="e">
        <f>#N/A</f>
        <v>#N/A</v>
      </c>
    </row>
    <row r="147" spans="1:6" ht="15.75" customHeight="1">
      <c r="A147" s="184" t="s">
        <v>602</v>
      </c>
      <c r="B147" s="184" t="s">
        <v>609</v>
      </c>
      <c r="C147" s="193">
        <f>+'Distribucion Programas I'!F147</f>
        <v>0</v>
      </c>
      <c r="D147" s="193">
        <f>+'Distribucion Programas II '!Q148</f>
        <v>100000</v>
      </c>
      <c r="E147" s="193"/>
      <c r="F147" s="191" t="e">
        <f>#N/A</f>
        <v>#N/A</v>
      </c>
    </row>
    <row r="148" spans="1:6" ht="15.75" customHeight="1">
      <c r="A148" s="183"/>
      <c r="B148" s="186"/>
      <c r="C148" s="193"/>
      <c r="D148" s="193">
        <f>+'Distribucion Programas II '!Q149</f>
        <v>0</v>
      </c>
      <c r="E148" s="193"/>
      <c r="F148" s="191" t="e">
        <f>#N/A</f>
        <v>#N/A</v>
      </c>
    </row>
    <row r="149" spans="1:6" ht="15.75" customHeight="1">
      <c r="A149" s="181" t="s">
        <v>250</v>
      </c>
      <c r="B149" s="181" t="s">
        <v>251</v>
      </c>
      <c r="C149" s="193">
        <f>+C151</f>
        <v>100000</v>
      </c>
      <c r="D149" s="193">
        <f>+'Distribucion Programas II '!Q150</f>
        <v>8533667.3599999994</v>
      </c>
      <c r="E149" s="193">
        <f>SUM(E150:E151)</f>
        <v>0</v>
      </c>
      <c r="F149" s="191" t="e">
        <f>#N/A</f>
        <v>#N/A</v>
      </c>
    </row>
    <row r="150" spans="1:6" ht="15.75" customHeight="1">
      <c r="A150" s="184" t="s">
        <v>610</v>
      </c>
      <c r="B150" s="184" t="s">
        <v>612</v>
      </c>
      <c r="C150" s="193">
        <f>+'Distribucion Programas I'!F150</f>
        <v>100000</v>
      </c>
      <c r="D150" s="193">
        <f>+'Distribucion Programas II '!Q151</f>
        <v>500000</v>
      </c>
      <c r="E150" s="193"/>
      <c r="F150" s="191" t="e">
        <f>#N/A</f>
        <v>#N/A</v>
      </c>
    </row>
    <row r="151" spans="1:6" ht="15.75" customHeight="1">
      <c r="A151" s="184" t="s">
        <v>611</v>
      </c>
      <c r="B151" s="184" t="s">
        <v>613</v>
      </c>
      <c r="C151" s="193">
        <f>+'Distribucion Programas I'!F151</f>
        <v>100000</v>
      </c>
      <c r="D151" s="193">
        <f>+'Distribucion Programas II '!Q152</f>
        <v>8033667.3600000003</v>
      </c>
      <c r="E151" s="193"/>
      <c r="F151" s="191" t="e">
        <f>#N/A</f>
        <v>#N/A</v>
      </c>
    </row>
    <row r="152" spans="1:6" ht="15.75" customHeight="1">
      <c r="A152" s="183"/>
      <c r="B152" s="186"/>
      <c r="C152" s="193"/>
      <c r="D152" s="193">
        <f>+'Distribucion Programas II '!Q153</f>
        <v>0</v>
      </c>
      <c r="E152" s="193"/>
      <c r="F152" s="191" t="e">
        <f>#N/A</f>
        <v>#N/A</v>
      </c>
    </row>
    <row r="153" spans="1:6" ht="15.75" customHeight="1">
      <c r="A153" s="181" t="s">
        <v>614</v>
      </c>
      <c r="B153" s="181" t="s">
        <v>615</v>
      </c>
      <c r="C153" s="193">
        <f>SUM(C154:C157)</f>
        <v>0</v>
      </c>
      <c r="D153" s="193">
        <f>+'Distribucion Programas II '!Q154</f>
        <v>0</v>
      </c>
      <c r="E153" s="193">
        <f>SUM(E154:E157)</f>
        <v>0</v>
      </c>
      <c r="F153" s="191" t="e">
        <f>#N/A</f>
        <v>#N/A</v>
      </c>
    </row>
    <row r="154" spans="1:6" ht="15.75" customHeight="1">
      <c r="A154" s="184" t="s">
        <v>616</v>
      </c>
      <c r="B154" s="184" t="s">
        <v>620</v>
      </c>
      <c r="C154" s="193">
        <f>+'Distribucion Programas I'!F154</f>
        <v>0</v>
      </c>
      <c r="D154" s="193">
        <f>+'Distribucion Programas II '!Q155</f>
        <v>0</v>
      </c>
      <c r="E154" s="193"/>
      <c r="F154" s="191" t="e">
        <f>#N/A</f>
        <v>#N/A</v>
      </c>
    </row>
    <row r="155" spans="1:6" ht="15.75" customHeight="1">
      <c r="A155" s="184" t="s">
        <v>617</v>
      </c>
      <c r="B155" s="184" t="s">
        <v>621</v>
      </c>
      <c r="C155" s="193">
        <f>+'Distribucion Programas I'!F155</f>
        <v>0</v>
      </c>
      <c r="D155" s="193">
        <f>+'Distribucion Programas II '!Q156</f>
        <v>0</v>
      </c>
      <c r="E155" s="193"/>
      <c r="F155" s="191" t="e">
        <f>#N/A</f>
        <v>#N/A</v>
      </c>
    </row>
    <row r="156" spans="1:6" ht="15.75" customHeight="1">
      <c r="A156" s="184" t="s">
        <v>618</v>
      </c>
      <c r="B156" s="184" t="s">
        <v>622</v>
      </c>
      <c r="C156" s="193">
        <f>+'Distribucion Programas I'!F156</f>
        <v>0</v>
      </c>
      <c r="D156" s="193">
        <f>+'Distribucion Programas II '!Q157</f>
        <v>0</v>
      </c>
      <c r="E156" s="193"/>
      <c r="F156" s="191" t="e">
        <f>#N/A</f>
        <v>#N/A</v>
      </c>
    </row>
    <row r="157" spans="1:6" ht="15.75" customHeight="1">
      <c r="A157" s="184" t="s">
        <v>619</v>
      </c>
      <c r="B157" s="184" t="s">
        <v>623</v>
      </c>
      <c r="C157" s="193">
        <f>+'Distribucion Programas I'!F157</f>
        <v>0</v>
      </c>
      <c r="D157" s="193">
        <f>+'Distribucion Programas II '!Q158</f>
        <v>0</v>
      </c>
      <c r="E157" s="193"/>
      <c r="F157" s="191" t="e">
        <f>#N/A</f>
        <v>#N/A</v>
      </c>
    </row>
    <row r="158" spans="1:6" ht="15.75" customHeight="1">
      <c r="A158" s="183"/>
      <c r="B158" s="186"/>
      <c r="C158" s="193"/>
      <c r="D158" s="193">
        <f>+'Distribucion Programas II '!Q159</f>
        <v>0</v>
      </c>
      <c r="E158" s="193"/>
      <c r="F158" s="191" t="e">
        <f>#N/A</f>
        <v>#N/A</v>
      </c>
    </row>
    <row r="159" spans="1:6" ht="15.75" customHeight="1">
      <c r="A159" s="181" t="s">
        <v>252</v>
      </c>
      <c r="B159" s="181" t="s">
        <v>253</v>
      </c>
      <c r="C159" s="193">
        <f>SUM(C160:C167)</f>
        <v>2503306.6</v>
      </c>
      <c r="D159" s="193">
        <f>+'Distribucion Programas II '!Q160</f>
        <v>17745051.060000002</v>
      </c>
      <c r="E159" s="193">
        <f>SUM(E160:E167)</f>
        <v>0</v>
      </c>
      <c r="F159" s="191" t="e">
        <f>#N/A</f>
        <v>#N/A</v>
      </c>
    </row>
    <row r="160" spans="1:6" ht="15.75" customHeight="1">
      <c r="A160" s="184" t="s">
        <v>624</v>
      </c>
      <c r="B160" s="184" t="s">
        <v>434</v>
      </c>
      <c r="C160" s="193">
        <f>+'Distribucion Programas I'!F160</f>
        <v>600000</v>
      </c>
      <c r="D160" s="193">
        <f>+'Distribucion Programas II '!Q161</f>
        <v>3750000</v>
      </c>
      <c r="E160" s="193"/>
      <c r="F160" s="191" t="e">
        <f>#N/A</f>
        <v>#N/A</v>
      </c>
    </row>
    <row r="161" spans="1:6" ht="15.75" customHeight="1">
      <c r="A161" s="184" t="s">
        <v>625</v>
      </c>
      <c r="B161" s="184" t="s">
        <v>435</v>
      </c>
      <c r="C161" s="193">
        <f>+'Distribucion Programas I'!F161</f>
        <v>0</v>
      </c>
      <c r="D161" s="193">
        <f>+'Distribucion Programas II '!Q162</f>
        <v>500000</v>
      </c>
      <c r="E161" s="193"/>
      <c r="F161" s="191" t="e">
        <f>#N/A</f>
        <v>#N/A</v>
      </c>
    </row>
    <row r="162" spans="1:6" ht="15.75" customHeight="1">
      <c r="A162" s="184" t="s">
        <v>626</v>
      </c>
      <c r="B162" s="184" t="s">
        <v>436</v>
      </c>
      <c r="C162" s="193">
        <f>+'Distribucion Programas I'!F162</f>
        <v>600000</v>
      </c>
      <c r="D162" s="193">
        <f>+'Distribucion Programas II '!Q163</f>
        <v>3150000</v>
      </c>
      <c r="E162" s="193"/>
      <c r="F162" s="191" t="e">
        <f>#N/A</f>
        <v>#N/A</v>
      </c>
    </row>
    <row r="163" spans="1:6" ht="15.75" customHeight="1">
      <c r="A163" s="184" t="s">
        <v>627</v>
      </c>
      <c r="B163" s="184" t="s">
        <v>437</v>
      </c>
      <c r="C163" s="193">
        <f>+'Distribucion Programas I'!F163</f>
        <v>479986.6</v>
      </c>
      <c r="D163" s="193">
        <f>+'Distribucion Programas II '!Q164</f>
        <v>2545051.06</v>
      </c>
      <c r="E163" s="193"/>
      <c r="F163" s="191" t="e">
        <f>#N/A</f>
        <v>#N/A</v>
      </c>
    </row>
    <row r="164" spans="1:6" ht="15.75" customHeight="1">
      <c r="A164" s="184" t="s">
        <v>628</v>
      </c>
      <c r="B164" s="184" t="s">
        <v>438</v>
      </c>
      <c r="C164" s="193">
        <f>+'Distribucion Programas I'!F164</f>
        <v>500000</v>
      </c>
      <c r="D164" s="193">
        <f>+'Distribucion Programas II '!Q165</f>
        <v>5300000</v>
      </c>
      <c r="E164" s="193"/>
      <c r="F164" s="191" t="e">
        <f>#N/A</f>
        <v>#N/A</v>
      </c>
    </row>
    <row r="165" spans="1:6" ht="15.75" customHeight="1">
      <c r="A165" s="184" t="s">
        <v>629</v>
      </c>
      <c r="B165" s="184" t="s">
        <v>439</v>
      </c>
      <c r="C165" s="193">
        <f>+'Distribucion Programas I'!F165</f>
        <v>323320</v>
      </c>
      <c r="D165" s="193">
        <f>+'Distribucion Programas II '!Q166</f>
        <v>2500000</v>
      </c>
      <c r="E165" s="193"/>
      <c r="F165" s="191" t="e">
        <f>#N/A</f>
        <v>#N/A</v>
      </c>
    </row>
    <row r="166" spans="1:6" ht="15.75" customHeight="1">
      <c r="A166" s="184" t="s">
        <v>630</v>
      </c>
      <c r="B166" s="184" t="s">
        <v>440</v>
      </c>
      <c r="C166" s="193">
        <f>+'Distribucion Programas I'!F166</f>
        <v>0</v>
      </c>
      <c r="D166" s="193">
        <f>+'Distribucion Programas II '!Q167</f>
        <v>0</v>
      </c>
      <c r="E166" s="193"/>
      <c r="F166" s="191" t="e">
        <f>#N/A</f>
        <v>#N/A</v>
      </c>
    </row>
    <row r="167" spans="1:6" ht="15.75" customHeight="1">
      <c r="A167" s="184" t="s">
        <v>631</v>
      </c>
      <c r="B167" s="184" t="s">
        <v>441</v>
      </c>
      <c r="C167" s="193">
        <f>+'Distribucion Programas I'!F167</f>
        <v>0</v>
      </c>
      <c r="D167" s="193">
        <f>+'Distribucion Programas II '!Q168</f>
        <v>0</v>
      </c>
      <c r="E167" s="193"/>
      <c r="F167" s="191" t="e">
        <f>#N/A</f>
        <v>#N/A</v>
      </c>
    </row>
    <row r="168" spans="1:6" ht="15.75" customHeight="1">
      <c r="A168" s="183"/>
      <c r="B168" s="186"/>
      <c r="C168" s="193"/>
      <c r="D168" s="193">
        <f>+'Distribucion Programas II '!Q169</f>
        <v>0</v>
      </c>
      <c r="E168" s="193"/>
      <c r="F168" s="191" t="e">
        <f>#N/A</f>
        <v>#N/A</v>
      </c>
    </row>
    <row r="169" spans="1:6" ht="15.75" customHeight="1">
      <c r="A169" s="181">
        <v>3</v>
      </c>
      <c r="B169" s="181" t="s">
        <v>193</v>
      </c>
      <c r="C169" s="193">
        <f>+C170+C176+C186+C190</f>
        <v>2069949.5399999998</v>
      </c>
      <c r="D169" s="193">
        <f>+'Distribucion Programas II '!Q170</f>
        <v>1379966.36</v>
      </c>
      <c r="E169" s="193">
        <f>+E170+E176+E186+E190</f>
        <v>0</v>
      </c>
      <c r="F169" s="191" t="e">
        <f>#N/A</f>
        <v>#N/A</v>
      </c>
    </row>
    <row r="170" spans="1:6" ht="15.75" customHeight="1">
      <c r="A170" s="181" t="s">
        <v>254</v>
      </c>
      <c r="B170" s="181" t="s">
        <v>255</v>
      </c>
      <c r="C170" s="193">
        <f>SUM(C171:C174)</f>
        <v>0</v>
      </c>
      <c r="D170" s="193">
        <f>+'Distribucion Programas II '!Q171</f>
        <v>0</v>
      </c>
      <c r="E170" s="193">
        <f>SUM(E171:E174)</f>
        <v>0</v>
      </c>
      <c r="F170" s="191" t="e">
        <f>#N/A</f>
        <v>#N/A</v>
      </c>
    </row>
    <row r="171" spans="1:6" ht="15.75" customHeight="1">
      <c r="A171" s="184" t="s">
        <v>632</v>
      </c>
      <c r="B171" s="184" t="s">
        <v>636</v>
      </c>
      <c r="C171" s="193">
        <f>+'Distribucion Programas I'!F171</f>
        <v>0</v>
      </c>
      <c r="D171" s="193">
        <f>+'Distribucion Programas II '!Q172</f>
        <v>0</v>
      </c>
      <c r="E171" s="193"/>
      <c r="F171" s="191" t="e">
        <f>#N/A</f>
        <v>#N/A</v>
      </c>
    </row>
    <row r="172" spans="1:6" ht="15.75" customHeight="1">
      <c r="A172" s="184" t="s">
        <v>633</v>
      </c>
      <c r="B172" s="184" t="s">
        <v>637</v>
      </c>
      <c r="C172" s="193">
        <f>+'Distribucion Programas I'!F172</f>
        <v>0</v>
      </c>
      <c r="D172" s="193">
        <f>+'Distribucion Programas II '!Q173</f>
        <v>0</v>
      </c>
      <c r="E172" s="193"/>
      <c r="F172" s="191" t="e">
        <f>#N/A</f>
        <v>#N/A</v>
      </c>
    </row>
    <row r="173" spans="1:6" ht="15.75" customHeight="1">
      <c r="A173" s="184" t="s">
        <v>634</v>
      </c>
      <c r="B173" s="184" t="s">
        <v>638</v>
      </c>
      <c r="C173" s="193">
        <f>+'Distribucion Programas I'!F173</f>
        <v>0</v>
      </c>
      <c r="D173" s="193">
        <f>+'Distribucion Programas II '!Q174</f>
        <v>0</v>
      </c>
      <c r="E173" s="193"/>
      <c r="F173" s="191" t="e">
        <f>#N/A</f>
        <v>#N/A</v>
      </c>
    </row>
    <row r="174" spans="1:6" ht="15.75" customHeight="1">
      <c r="A174" s="184" t="s">
        <v>635</v>
      </c>
      <c r="B174" s="184" t="s">
        <v>639</v>
      </c>
      <c r="C174" s="193">
        <f>+'Distribucion Programas I'!F174</f>
        <v>0</v>
      </c>
      <c r="D174" s="193">
        <f>+'Distribucion Programas II '!Q175</f>
        <v>0</v>
      </c>
      <c r="E174" s="193"/>
      <c r="F174" s="191" t="e">
        <f>#N/A</f>
        <v>#N/A</v>
      </c>
    </row>
    <row r="175" spans="1:6" ht="15.75" customHeight="1">
      <c r="A175" s="184"/>
      <c r="B175" s="184"/>
      <c r="C175" s="193"/>
      <c r="D175" s="193">
        <f>+'Distribucion Programas II '!Q176</f>
        <v>0</v>
      </c>
      <c r="E175" s="193"/>
      <c r="F175" s="191" t="e">
        <f>#N/A</f>
        <v>#N/A</v>
      </c>
    </row>
    <row r="176" spans="1:6" ht="15.75" customHeight="1">
      <c r="A176" s="181" t="s">
        <v>256</v>
      </c>
      <c r="B176" s="181" t="s">
        <v>257</v>
      </c>
      <c r="C176" s="193">
        <f>SUM(C177:C184)</f>
        <v>2069949.5399999998</v>
      </c>
      <c r="D176" s="193">
        <f>+'Distribucion Programas II '!Q177</f>
        <v>1379966.36</v>
      </c>
      <c r="E176" s="193">
        <f>SUM(E177:E184)</f>
        <v>0</v>
      </c>
      <c r="F176" s="191" t="e">
        <f>#N/A</f>
        <v>#N/A</v>
      </c>
    </row>
    <row r="177" spans="1:6" ht="15.75" customHeight="1">
      <c r="A177" s="184" t="s">
        <v>640</v>
      </c>
      <c r="B177" s="184" t="s">
        <v>648</v>
      </c>
      <c r="C177" s="193">
        <f>+'Distribucion Programas I'!F177</f>
        <v>0</v>
      </c>
      <c r="D177" s="193">
        <f>+'Distribucion Programas II '!Q178</f>
        <v>0</v>
      </c>
      <c r="E177" s="193"/>
      <c r="F177" s="191" t="e">
        <f>#N/A</f>
        <v>#N/A</v>
      </c>
    </row>
    <row r="178" spans="1:6" ht="15.75" customHeight="1">
      <c r="A178" s="184" t="s">
        <v>641</v>
      </c>
      <c r="B178" s="184" t="s">
        <v>649</v>
      </c>
      <c r="C178" s="193">
        <f>+'Distribucion Programas I'!F178</f>
        <v>0</v>
      </c>
      <c r="D178" s="193">
        <f>+'Distribucion Programas II '!Q179</f>
        <v>0</v>
      </c>
      <c r="E178" s="193"/>
      <c r="F178" s="191" t="e">
        <f>#N/A</f>
        <v>#N/A</v>
      </c>
    </row>
    <row r="179" spans="1:6" ht="30" customHeight="1">
      <c r="A179" s="184" t="s">
        <v>642</v>
      </c>
      <c r="B179" s="215" t="s">
        <v>650</v>
      </c>
      <c r="C179" s="193">
        <f>+'Distribucion Programas I'!F179</f>
        <v>0</v>
      </c>
      <c r="D179" s="193">
        <f>+'Distribucion Programas II '!Q180</f>
        <v>0</v>
      </c>
      <c r="E179" s="193"/>
      <c r="F179" s="191" t="e">
        <f>#N/A</f>
        <v>#N/A</v>
      </c>
    </row>
    <row r="180" spans="1:6" ht="15.75" customHeight="1">
      <c r="A180" s="184" t="s">
        <v>643</v>
      </c>
      <c r="B180" s="184" t="s">
        <v>651</v>
      </c>
      <c r="C180" s="193">
        <f>+'Distribucion Programas I'!F180</f>
        <v>0</v>
      </c>
      <c r="D180" s="193">
        <f>+'Distribucion Programas II '!Q181</f>
        <v>0</v>
      </c>
      <c r="E180" s="193"/>
      <c r="F180" s="191" t="e">
        <f>#N/A</f>
        <v>#N/A</v>
      </c>
    </row>
    <row r="181" spans="1:6" ht="15.75" customHeight="1">
      <c r="A181" s="184" t="s">
        <v>644</v>
      </c>
      <c r="B181" s="184" t="s">
        <v>653</v>
      </c>
      <c r="C181" s="193">
        <f>+'Distribucion Programas I'!F181</f>
        <v>0</v>
      </c>
      <c r="D181" s="193">
        <f>+'Distribucion Programas II '!Q182</f>
        <v>0</v>
      </c>
      <c r="E181" s="193"/>
      <c r="F181" s="191" t="e">
        <f>#N/A</f>
        <v>#N/A</v>
      </c>
    </row>
    <row r="182" spans="1:6" ht="15.75" customHeight="1">
      <c r="A182" s="184" t="s">
        <v>645</v>
      </c>
      <c r="B182" s="184" t="s">
        <v>652</v>
      </c>
      <c r="C182" s="193">
        <f>+'Distribucion Programas I'!F182</f>
        <v>2069949.5399999998</v>
      </c>
      <c r="D182" s="193">
        <f>+'Distribucion Programas II '!Q183</f>
        <v>1379966.36</v>
      </c>
      <c r="E182" s="193"/>
      <c r="F182" s="191" t="e">
        <f>#N/A</f>
        <v>#N/A</v>
      </c>
    </row>
    <row r="183" spans="1:6" ht="15.75" customHeight="1">
      <c r="A183" s="184" t="s">
        <v>646</v>
      </c>
      <c r="B183" s="184" t="s">
        <v>654</v>
      </c>
      <c r="C183" s="193">
        <f>+'Distribucion Programas I'!F183</f>
        <v>0</v>
      </c>
      <c r="D183" s="193">
        <f>+'Distribucion Programas II '!Q184</f>
        <v>0</v>
      </c>
      <c r="E183" s="193"/>
      <c r="F183" s="191" t="e">
        <f>#N/A</f>
        <v>#N/A</v>
      </c>
    </row>
    <row r="184" spans="1:6" ht="15.75" customHeight="1">
      <c r="A184" s="184" t="s">
        <v>647</v>
      </c>
      <c r="B184" s="184" t="s">
        <v>658</v>
      </c>
      <c r="C184" s="193">
        <f>+'Distribucion Programas I'!F184</f>
        <v>0</v>
      </c>
      <c r="D184" s="193">
        <f>+'Distribucion Programas II '!Q185</f>
        <v>0</v>
      </c>
      <c r="E184" s="193"/>
      <c r="F184" s="191" t="e">
        <f>#N/A</f>
        <v>#N/A</v>
      </c>
    </row>
    <row r="185" spans="1:6" ht="15.75" customHeight="1">
      <c r="A185" s="184"/>
      <c r="B185" s="186"/>
      <c r="C185" s="193"/>
      <c r="D185" s="193">
        <f>+'Distribucion Programas II '!Q186</f>
        <v>0</v>
      </c>
      <c r="E185" s="193"/>
      <c r="F185" s="191" t="e">
        <f>#N/A</f>
        <v>#N/A</v>
      </c>
    </row>
    <row r="186" spans="1:6" ht="15.75" customHeight="1">
      <c r="A186" s="181" t="s">
        <v>659</v>
      </c>
      <c r="B186" s="181" t="s">
        <v>660</v>
      </c>
      <c r="C186" s="193">
        <f>SUM(C187:C188)</f>
        <v>0</v>
      </c>
      <c r="D186" s="193">
        <f>+'Distribucion Programas II '!Q187</f>
        <v>0</v>
      </c>
      <c r="E186" s="193">
        <f>SUM(E187:E188)</f>
        <v>0</v>
      </c>
      <c r="F186" s="191" t="e">
        <f>#N/A</f>
        <v>#N/A</v>
      </c>
    </row>
    <row r="187" spans="1:6" ht="15.75" customHeight="1">
      <c r="A187" s="184" t="s">
        <v>663</v>
      </c>
      <c r="B187" s="184" t="s">
        <v>661</v>
      </c>
      <c r="C187" s="193">
        <f>+'Distribucion Programas I'!F187</f>
        <v>0</v>
      </c>
      <c r="D187" s="193">
        <f>+'Distribucion Programas II '!Q188</f>
        <v>0</v>
      </c>
      <c r="E187" s="193"/>
      <c r="F187" s="191" t="e">
        <f>#N/A</f>
        <v>#N/A</v>
      </c>
    </row>
    <row r="188" spans="1:6" ht="15.75" customHeight="1">
      <c r="A188" s="184" t="s">
        <v>664</v>
      </c>
      <c r="B188" s="184" t="s">
        <v>662</v>
      </c>
      <c r="C188" s="193">
        <f>+'Distribucion Programas I'!F188</f>
        <v>0</v>
      </c>
      <c r="D188" s="193">
        <f>+'Distribucion Programas II '!Q189</f>
        <v>0</v>
      </c>
      <c r="E188" s="193"/>
      <c r="F188" s="191" t="e">
        <f>#N/A</f>
        <v>#N/A</v>
      </c>
    </row>
    <row r="189" spans="1:6" ht="15.75" customHeight="1">
      <c r="A189" s="310"/>
      <c r="B189" s="308"/>
      <c r="C189" s="309"/>
      <c r="D189" s="193">
        <f>+'Distribucion Programas II '!Q190</f>
        <v>0</v>
      </c>
      <c r="E189" s="309"/>
      <c r="F189" s="311"/>
    </row>
    <row r="190" spans="1:6" ht="15.75" customHeight="1">
      <c r="A190" s="189" t="s">
        <v>258</v>
      </c>
      <c r="B190" s="189" t="s">
        <v>259</v>
      </c>
      <c r="C190" s="205">
        <f>SUM(C191:C195)</f>
        <v>0</v>
      </c>
      <c r="D190" s="193">
        <f>+'Distribucion Programas II '!Q191</f>
        <v>0</v>
      </c>
      <c r="E190" s="205">
        <f>SUM(E191:E195)</f>
        <v>0</v>
      </c>
      <c r="F190" s="201" t="e">
        <f>#N/A</f>
        <v>#N/A</v>
      </c>
    </row>
    <row r="191" spans="1:6" ht="15.75" customHeight="1">
      <c r="A191" s="184" t="s">
        <v>665</v>
      </c>
      <c r="B191" s="184" t="s">
        <v>671</v>
      </c>
      <c r="C191" s="193">
        <f>+'Distribucion Programas I'!F191</f>
        <v>0</v>
      </c>
      <c r="D191" s="193">
        <f>+'Distribucion Programas II '!Q192</f>
        <v>0</v>
      </c>
      <c r="E191" s="193"/>
      <c r="F191" s="191" t="e">
        <f>#N/A</f>
        <v>#N/A</v>
      </c>
    </row>
    <row r="192" spans="1:6" ht="15.75" customHeight="1">
      <c r="A192" s="184" t="s">
        <v>666</v>
      </c>
      <c r="B192" s="184" t="s">
        <v>672</v>
      </c>
      <c r="C192" s="193">
        <f>+'Distribucion Programas I'!F192</f>
        <v>0</v>
      </c>
      <c r="D192" s="193">
        <f>+'Distribucion Programas II '!Q193</f>
        <v>0</v>
      </c>
      <c r="E192" s="193"/>
      <c r="F192" s="191" t="e">
        <f>#N/A</f>
        <v>#N/A</v>
      </c>
    </row>
    <row r="193" spans="1:6" ht="15.75" customHeight="1">
      <c r="A193" s="184" t="s">
        <v>668</v>
      </c>
      <c r="B193" s="184" t="s">
        <v>673</v>
      </c>
      <c r="C193" s="193">
        <f>+'Distribucion Programas I'!F193</f>
        <v>0</v>
      </c>
      <c r="D193" s="193">
        <f>+'Distribucion Programas II '!Q194</f>
        <v>0</v>
      </c>
      <c r="E193" s="193"/>
      <c r="F193" s="191" t="e">
        <f>#N/A</f>
        <v>#N/A</v>
      </c>
    </row>
    <row r="194" spans="1:6" ht="15.75" customHeight="1">
      <c r="A194" s="184" t="s">
        <v>669</v>
      </c>
      <c r="B194" s="184" t="s">
        <v>674</v>
      </c>
      <c r="C194" s="193">
        <f>+'Distribucion Programas I'!F194</f>
        <v>0</v>
      </c>
      <c r="D194" s="193">
        <f>+'Distribucion Programas II '!Q195</f>
        <v>0</v>
      </c>
      <c r="E194" s="193"/>
      <c r="F194" s="191" t="e">
        <f>#N/A</f>
        <v>#N/A</v>
      </c>
    </row>
    <row r="195" spans="1:6" ht="15.75" customHeight="1">
      <c r="A195" s="184" t="s">
        <v>670</v>
      </c>
      <c r="B195" s="184" t="s">
        <v>687</v>
      </c>
      <c r="C195" s="193">
        <f>+'Distribucion Programas I'!F195</f>
        <v>0</v>
      </c>
      <c r="D195" s="193">
        <f>+'Distribucion Programas II '!Q196</f>
        <v>0</v>
      </c>
      <c r="E195" s="193"/>
      <c r="F195" s="191" t="e">
        <f>#N/A</f>
        <v>#N/A</v>
      </c>
    </row>
    <row r="196" spans="1:6" ht="15.75" customHeight="1">
      <c r="A196" s="183"/>
      <c r="B196" s="186"/>
      <c r="C196" s="193"/>
      <c r="D196" s="193">
        <f>+'Distribucion Programas II '!Q197</f>
        <v>0</v>
      </c>
      <c r="E196" s="193"/>
      <c r="F196" s="191"/>
    </row>
    <row r="197" spans="1:6" ht="15.75" customHeight="1">
      <c r="A197" s="181">
        <v>4</v>
      </c>
      <c r="B197" s="181" t="s">
        <v>194</v>
      </c>
      <c r="C197" s="193">
        <f>+C198+C208+C218</f>
        <v>0</v>
      </c>
      <c r="D197" s="193">
        <f>+'Distribucion Programas II '!Q198</f>
        <v>0</v>
      </c>
      <c r="E197" s="193">
        <f>+E198+E208+E218</f>
        <v>0</v>
      </c>
      <c r="F197" s="191" t="e">
        <f>#N/A</f>
        <v>#N/A</v>
      </c>
    </row>
    <row r="198" spans="1:6" ht="15.75" customHeight="1">
      <c r="A198" s="189" t="s">
        <v>260</v>
      </c>
      <c r="B198" s="189" t="s">
        <v>261</v>
      </c>
      <c r="C198" s="205">
        <f>SUM(C199:C206)</f>
        <v>0</v>
      </c>
      <c r="D198" s="193">
        <f>+'Distribucion Programas II '!Q199</f>
        <v>0</v>
      </c>
      <c r="E198" s="205">
        <f>SUM(E199:E206)</f>
        <v>0</v>
      </c>
      <c r="F198" s="201" t="e">
        <f>#N/A</f>
        <v>#N/A</v>
      </c>
    </row>
    <row r="199" spans="1:6" ht="15.75" customHeight="1">
      <c r="A199" s="184" t="s">
        <v>688</v>
      </c>
      <c r="B199" s="184" t="s">
        <v>696</v>
      </c>
      <c r="C199" s="193">
        <f>+'Distribucion Programas I'!F199</f>
        <v>0</v>
      </c>
      <c r="D199" s="193">
        <f>+'Distribucion Programas II '!Q200</f>
        <v>0</v>
      </c>
      <c r="E199" s="193"/>
      <c r="F199" s="191" t="e">
        <f>#N/A</f>
        <v>#N/A</v>
      </c>
    </row>
    <row r="200" spans="1:6" ht="15.75" customHeight="1">
      <c r="A200" s="184" t="s">
        <v>689</v>
      </c>
      <c r="B200" s="184" t="s">
        <v>697</v>
      </c>
      <c r="C200" s="193">
        <f>+'Distribucion Programas I'!F200</f>
        <v>0</v>
      </c>
      <c r="D200" s="193">
        <f>+'Distribucion Programas II '!Q201</f>
        <v>0</v>
      </c>
      <c r="E200" s="193"/>
      <c r="F200" s="191" t="e">
        <f>#N/A</f>
        <v>#N/A</v>
      </c>
    </row>
    <row r="201" spans="1:6" ht="15.75" customHeight="1">
      <c r="A201" s="184" t="s">
        <v>690</v>
      </c>
      <c r="B201" s="184" t="s">
        <v>698</v>
      </c>
      <c r="C201" s="193">
        <f>+'Distribucion Programas I'!F201</f>
        <v>0</v>
      </c>
      <c r="D201" s="193">
        <f>+'Distribucion Programas II '!Q202</f>
        <v>0</v>
      </c>
      <c r="E201" s="193"/>
      <c r="F201" s="191" t="e">
        <f>#N/A</f>
        <v>#N/A</v>
      </c>
    </row>
    <row r="202" spans="1:6" ht="15.75" customHeight="1">
      <c r="A202" s="184" t="s">
        <v>691</v>
      </c>
      <c r="B202" s="184" t="s">
        <v>699</v>
      </c>
      <c r="C202" s="193">
        <f>+'Distribucion Programas I'!F202</f>
        <v>0</v>
      </c>
      <c r="D202" s="193">
        <f>+'Distribucion Programas II '!Q203</f>
        <v>0</v>
      </c>
      <c r="E202" s="193"/>
      <c r="F202" s="191" t="e">
        <f>#N/A</f>
        <v>#N/A</v>
      </c>
    </row>
    <row r="203" spans="1:6" ht="15.75" customHeight="1">
      <c r="A203" s="184" t="s">
        <v>692</v>
      </c>
      <c r="B203" s="184" t="s">
        <v>700</v>
      </c>
      <c r="C203" s="193">
        <f>+'Distribucion Programas I'!F203</f>
        <v>0</v>
      </c>
      <c r="D203" s="193">
        <f>+'Distribucion Programas II '!Q204</f>
        <v>0</v>
      </c>
      <c r="E203" s="193"/>
      <c r="F203" s="191" t="e">
        <f>#N/A</f>
        <v>#N/A</v>
      </c>
    </row>
    <row r="204" spans="1:6" ht="15.75" customHeight="1">
      <c r="A204" s="184" t="s">
        <v>693</v>
      </c>
      <c r="B204" s="184" t="s">
        <v>701</v>
      </c>
      <c r="C204" s="193">
        <f>+'Distribucion Programas I'!F204</f>
        <v>0</v>
      </c>
      <c r="D204" s="193">
        <f>+'Distribucion Programas II '!Q205</f>
        <v>0</v>
      </c>
      <c r="E204" s="193"/>
      <c r="F204" s="191" t="e">
        <f>#N/A</f>
        <v>#N/A</v>
      </c>
    </row>
    <row r="205" spans="1:6" ht="15.75" customHeight="1">
      <c r="A205" s="184" t="s">
        <v>694</v>
      </c>
      <c r="B205" s="184" t="s">
        <v>702</v>
      </c>
      <c r="C205" s="193">
        <f>+'Distribucion Programas I'!F205</f>
        <v>0</v>
      </c>
      <c r="D205" s="193">
        <f>+'Distribucion Programas II '!Q206</f>
        <v>0</v>
      </c>
      <c r="E205" s="193"/>
      <c r="F205" s="191" t="e">
        <f>#N/A</f>
        <v>#N/A</v>
      </c>
    </row>
    <row r="206" spans="1:6" ht="15.75" customHeight="1">
      <c r="A206" s="184" t="s">
        <v>695</v>
      </c>
      <c r="B206" s="184" t="s">
        <v>703</v>
      </c>
      <c r="C206" s="193">
        <f>+'Distribucion Programas I'!F206</f>
        <v>0</v>
      </c>
      <c r="D206" s="193">
        <f>+'Distribucion Programas II '!Q207</f>
        <v>0</v>
      </c>
      <c r="E206" s="193"/>
      <c r="F206" s="191" t="e">
        <f>#N/A</f>
        <v>#N/A</v>
      </c>
    </row>
    <row r="207" spans="1:6" ht="15.75" customHeight="1">
      <c r="A207" s="183"/>
      <c r="B207" s="186"/>
      <c r="C207" s="193"/>
      <c r="D207" s="193">
        <f>+'Distribucion Programas II '!Q208</f>
        <v>0</v>
      </c>
      <c r="E207" s="193"/>
      <c r="F207" s="191" t="e">
        <f>#N/A</f>
        <v>#N/A</v>
      </c>
    </row>
    <row r="208" spans="1:6" ht="15.75" customHeight="1">
      <c r="A208" s="181" t="s">
        <v>262</v>
      </c>
      <c r="B208" s="181" t="s">
        <v>263</v>
      </c>
      <c r="C208" s="193">
        <f>SUM(C209:C216)</f>
        <v>0</v>
      </c>
      <c r="D208" s="193">
        <f>+'Distribucion Programas II '!Q209</f>
        <v>0</v>
      </c>
      <c r="E208" s="193">
        <f>SUM(E209:E216)</f>
        <v>0</v>
      </c>
      <c r="F208" s="191" t="e">
        <f>#N/A</f>
        <v>#N/A</v>
      </c>
    </row>
    <row r="209" spans="1:6" ht="15.75" customHeight="1">
      <c r="A209" s="184" t="s">
        <v>704</v>
      </c>
      <c r="B209" s="184" t="s">
        <v>712</v>
      </c>
      <c r="C209" s="193">
        <f>+'Distribucion Programas I'!F209</f>
        <v>0</v>
      </c>
      <c r="D209" s="193">
        <f>+'Distribucion Programas II '!Q210</f>
        <v>0</v>
      </c>
      <c r="E209" s="193"/>
      <c r="F209" s="191" t="e">
        <f>#N/A</f>
        <v>#N/A</v>
      </c>
    </row>
    <row r="210" spans="1:6" ht="15.75" customHeight="1">
      <c r="A210" s="184" t="s">
        <v>705</v>
      </c>
      <c r="B210" s="184" t="s">
        <v>713</v>
      </c>
      <c r="C210" s="193">
        <f>+'Distribucion Programas I'!F210</f>
        <v>0</v>
      </c>
      <c r="D210" s="193">
        <f>+'Distribucion Programas II '!Q211</f>
        <v>0</v>
      </c>
      <c r="E210" s="193"/>
      <c r="F210" s="191" t="e">
        <f>#N/A</f>
        <v>#N/A</v>
      </c>
    </row>
    <row r="211" spans="1:6" ht="27.75" customHeight="1">
      <c r="A211" s="184" t="s">
        <v>706</v>
      </c>
      <c r="B211" s="215" t="s">
        <v>714</v>
      </c>
      <c r="C211" s="193">
        <f>+'Distribucion Programas I'!F211</f>
        <v>0</v>
      </c>
      <c r="D211" s="193">
        <f>+'Distribucion Programas II '!Q212</f>
        <v>0</v>
      </c>
      <c r="E211" s="193"/>
      <c r="F211" s="191" t="e">
        <f>#N/A</f>
        <v>#N/A</v>
      </c>
    </row>
    <row r="212" spans="1:6" ht="15.75" customHeight="1">
      <c r="A212" s="184" t="s">
        <v>707</v>
      </c>
      <c r="B212" s="184" t="s">
        <v>715</v>
      </c>
      <c r="C212" s="193">
        <f>+'Distribucion Programas I'!F212</f>
        <v>0</v>
      </c>
      <c r="D212" s="193">
        <f>+'Distribucion Programas II '!Q213</f>
        <v>0</v>
      </c>
      <c r="E212" s="193"/>
      <c r="F212" s="191" t="e">
        <f>#N/A</f>
        <v>#N/A</v>
      </c>
    </row>
    <row r="213" spans="1:6" ht="15.75" customHeight="1">
      <c r="A213" s="184" t="s">
        <v>708</v>
      </c>
      <c r="B213" s="184" t="s">
        <v>716</v>
      </c>
      <c r="C213" s="193">
        <f>+'Distribucion Programas I'!F213</f>
        <v>0</v>
      </c>
      <c r="D213" s="193">
        <f>+'Distribucion Programas II '!Q214</f>
        <v>0</v>
      </c>
      <c r="E213" s="193"/>
      <c r="F213" s="191" t="e">
        <f>#N/A</f>
        <v>#N/A</v>
      </c>
    </row>
    <row r="214" spans="1:6" ht="15.75" customHeight="1">
      <c r="A214" s="184" t="s">
        <v>709</v>
      </c>
      <c r="B214" s="184" t="s">
        <v>717</v>
      </c>
      <c r="C214" s="193">
        <f>+'Distribucion Programas I'!F214</f>
        <v>0</v>
      </c>
      <c r="D214" s="193">
        <f>+'Distribucion Programas II '!Q215</f>
        <v>0</v>
      </c>
      <c r="E214" s="193"/>
      <c r="F214" s="191" t="e">
        <f>#N/A</f>
        <v>#N/A</v>
      </c>
    </row>
    <row r="215" spans="1:6" ht="15.75" customHeight="1">
      <c r="A215" s="184" t="s">
        <v>710</v>
      </c>
      <c r="B215" s="184" t="s">
        <v>718</v>
      </c>
      <c r="C215" s="193">
        <f>+'Distribucion Programas I'!F215</f>
        <v>0</v>
      </c>
      <c r="D215" s="193">
        <f>+'Distribucion Programas II '!Q216</f>
        <v>0</v>
      </c>
      <c r="E215" s="193"/>
      <c r="F215" s="191" t="e">
        <f>#N/A</f>
        <v>#N/A</v>
      </c>
    </row>
    <row r="216" spans="1:6" ht="15.75" customHeight="1">
      <c r="A216" s="184" t="s">
        <v>711</v>
      </c>
      <c r="B216" s="184" t="s">
        <v>719</v>
      </c>
      <c r="C216" s="193">
        <f>+'Distribucion Programas I'!F216</f>
        <v>0</v>
      </c>
      <c r="D216" s="193">
        <f>+'Distribucion Programas II '!Q217</f>
        <v>0</v>
      </c>
      <c r="E216" s="193"/>
      <c r="F216" s="191" t="e">
        <f>#N/A</f>
        <v>#N/A</v>
      </c>
    </row>
    <row r="217" spans="1:6" ht="15.75" customHeight="1">
      <c r="A217" s="183"/>
      <c r="B217" s="186"/>
      <c r="C217" s="193"/>
      <c r="D217" s="193">
        <f>+'Distribucion Programas II '!Q218</f>
        <v>0</v>
      </c>
      <c r="E217" s="193"/>
      <c r="F217" s="191" t="e">
        <f>#N/A</f>
        <v>#N/A</v>
      </c>
    </row>
    <row r="218" spans="1:6" ht="15.75" customHeight="1">
      <c r="A218" s="181" t="s">
        <v>264</v>
      </c>
      <c r="B218" s="181" t="s">
        <v>265</v>
      </c>
      <c r="C218" s="193">
        <f>SUM(C219:C220)</f>
        <v>0</v>
      </c>
      <c r="D218" s="193">
        <f>+'Distribucion Programas II '!Q219</f>
        <v>0</v>
      </c>
      <c r="E218" s="193">
        <f>SUM(E219:E220)</f>
        <v>0</v>
      </c>
      <c r="F218" s="191" t="e">
        <f>#N/A</f>
        <v>#N/A</v>
      </c>
    </row>
    <row r="219" spans="1:6" ht="15.75" customHeight="1">
      <c r="A219" s="184" t="s">
        <v>720</v>
      </c>
      <c r="B219" s="184" t="s">
        <v>722</v>
      </c>
      <c r="C219" s="193">
        <f>+'Distribucion Programas I'!F219</f>
        <v>0</v>
      </c>
      <c r="D219" s="193">
        <f>+'Distribucion Programas II '!Q220</f>
        <v>0</v>
      </c>
      <c r="E219" s="193"/>
      <c r="F219" s="191" t="e">
        <f>#N/A</f>
        <v>#N/A</v>
      </c>
    </row>
    <row r="220" spans="1:6" ht="15.75" customHeight="1">
      <c r="A220" s="184" t="s">
        <v>721</v>
      </c>
      <c r="B220" s="184" t="s">
        <v>723</v>
      </c>
      <c r="C220" s="193">
        <f>+'Distribucion Programas I'!F220</f>
        <v>0</v>
      </c>
      <c r="D220" s="193">
        <f>+'Distribucion Programas II '!Q221</f>
        <v>0</v>
      </c>
      <c r="E220" s="193"/>
      <c r="F220" s="191" t="e">
        <f>#N/A</f>
        <v>#N/A</v>
      </c>
    </row>
    <row r="221" spans="1:6" ht="15.75" customHeight="1">
      <c r="A221" s="183"/>
      <c r="B221" s="186"/>
      <c r="C221" s="193"/>
      <c r="D221" s="193">
        <f>+'Distribucion Programas II '!Q222</f>
        <v>0</v>
      </c>
      <c r="E221" s="193"/>
      <c r="F221" s="191" t="e">
        <f>#N/A</f>
        <v>#N/A</v>
      </c>
    </row>
    <row r="222" spans="1:6" ht="15.75" customHeight="1">
      <c r="A222" s="181">
        <v>5</v>
      </c>
      <c r="B222" s="181" t="s">
        <v>724</v>
      </c>
      <c r="C222" s="193">
        <f>+C223+C233+C243+C248</f>
        <v>0</v>
      </c>
      <c r="D222" s="193">
        <f>+'Distribucion Programas II '!Q223</f>
        <v>9500403.4199999999</v>
      </c>
      <c r="E222" s="193">
        <f>+E223+E233+E243+E248</f>
        <v>0</v>
      </c>
      <c r="F222" s="191" t="e">
        <f>#N/A</f>
        <v>#N/A</v>
      </c>
    </row>
    <row r="223" spans="1:6" ht="15.75" customHeight="1">
      <c r="A223" s="181" t="s">
        <v>266</v>
      </c>
      <c r="B223" s="181" t="s">
        <v>267</v>
      </c>
      <c r="C223" s="193">
        <f>SUM(C224:C231)</f>
        <v>0</v>
      </c>
      <c r="D223" s="193">
        <f>+'Distribucion Programas II '!Q224</f>
        <v>5000403.42</v>
      </c>
      <c r="E223" s="193">
        <f>SUM(E224:E231)</f>
        <v>0</v>
      </c>
      <c r="F223" s="191" t="e">
        <f>#N/A</f>
        <v>#N/A</v>
      </c>
    </row>
    <row r="224" spans="1:6" ht="15.75" customHeight="1">
      <c r="A224" s="184" t="s">
        <v>725</v>
      </c>
      <c r="B224" s="184" t="s">
        <v>733</v>
      </c>
      <c r="C224" s="193">
        <f>+'Distribucion Programas I'!F224</f>
        <v>0</v>
      </c>
      <c r="D224" s="193">
        <f>+'Distribucion Programas II '!Q225</f>
        <v>0</v>
      </c>
      <c r="E224" s="193"/>
      <c r="F224" s="191" t="e">
        <f>#N/A</f>
        <v>#N/A</v>
      </c>
    </row>
    <row r="225" spans="1:6" ht="15.75" customHeight="1">
      <c r="A225" s="184" t="s">
        <v>726</v>
      </c>
      <c r="B225" s="184" t="s">
        <v>734</v>
      </c>
      <c r="C225" s="193">
        <f>+'Distribucion Programas I'!F225</f>
        <v>0</v>
      </c>
      <c r="D225" s="193">
        <f>+'Distribucion Programas II '!Q226</f>
        <v>0</v>
      </c>
      <c r="E225" s="193"/>
      <c r="F225" s="191" t="e">
        <f>#N/A</f>
        <v>#N/A</v>
      </c>
    </row>
    <row r="226" spans="1:6" ht="15.75" customHeight="1">
      <c r="A226" s="184" t="s">
        <v>727</v>
      </c>
      <c r="B226" s="184" t="s">
        <v>735</v>
      </c>
      <c r="C226" s="193">
        <f>+'Distribucion Programas I'!F226</f>
        <v>0</v>
      </c>
      <c r="D226" s="193">
        <f>+'Distribucion Programas II '!Q227</f>
        <v>0</v>
      </c>
      <c r="E226" s="193"/>
      <c r="F226" s="191" t="e">
        <f>#N/A</f>
        <v>#N/A</v>
      </c>
    </row>
    <row r="227" spans="1:6" ht="15.75" customHeight="1">
      <c r="A227" s="184" t="s">
        <v>728</v>
      </c>
      <c r="B227" s="184" t="s">
        <v>736</v>
      </c>
      <c r="C227" s="193">
        <f>+'Distribucion Programas I'!F227</f>
        <v>0</v>
      </c>
      <c r="D227" s="193">
        <f>+'Distribucion Programas II '!Q228</f>
        <v>0</v>
      </c>
      <c r="E227" s="193"/>
      <c r="F227" s="191" t="e">
        <f>#N/A</f>
        <v>#N/A</v>
      </c>
    </row>
    <row r="228" spans="1:6" ht="15.75" customHeight="1">
      <c r="A228" s="184" t="s">
        <v>729</v>
      </c>
      <c r="B228" s="184" t="s">
        <v>737</v>
      </c>
      <c r="C228" s="193">
        <f>+'Distribucion Programas I'!F228</f>
        <v>0</v>
      </c>
      <c r="D228" s="193">
        <f>+'Distribucion Programas II '!Q229</f>
        <v>1500000</v>
      </c>
      <c r="E228" s="193"/>
      <c r="F228" s="191" t="e">
        <f>#N/A</f>
        <v>#N/A</v>
      </c>
    </row>
    <row r="229" spans="1:6" ht="15.75" customHeight="1">
      <c r="A229" s="184" t="s">
        <v>730</v>
      </c>
      <c r="B229" s="184" t="s">
        <v>738</v>
      </c>
      <c r="C229" s="193">
        <f>+'Distribucion Programas I'!F229</f>
        <v>0</v>
      </c>
      <c r="D229" s="193">
        <f>+'Distribucion Programas II '!Q230</f>
        <v>0</v>
      </c>
      <c r="E229" s="193"/>
      <c r="F229" s="191" t="e">
        <f>#N/A</f>
        <v>#N/A</v>
      </c>
    </row>
    <row r="230" spans="1:6" ht="15.75" customHeight="1">
      <c r="A230" s="184" t="s">
        <v>731</v>
      </c>
      <c r="B230" s="184" t="s">
        <v>739</v>
      </c>
      <c r="C230" s="193">
        <f>+'Distribucion Programas I'!F230</f>
        <v>0</v>
      </c>
      <c r="D230" s="193">
        <f>+'Distribucion Programas II '!Q231</f>
        <v>500000</v>
      </c>
      <c r="E230" s="193"/>
      <c r="F230" s="191" t="e">
        <f>#N/A</f>
        <v>#N/A</v>
      </c>
    </row>
    <row r="231" spans="1:6" ht="15.75" customHeight="1">
      <c r="A231" s="184" t="s">
        <v>732</v>
      </c>
      <c r="B231" s="184" t="s">
        <v>740</v>
      </c>
      <c r="C231" s="193">
        <f>+'Distribucion Programas I'!F231</f>
        <v>0</v>
      </c>
      <c r="D231" s="193">
        <f>+'Distribucion Programas II '!Q232</f>
        <v>3000403.42</v>
      </c>
      <c r="E231" s="193"/>
      <c r="F231" s="191" t="e">
        <f>#N/A</f>
        <v>#N/A</v>
      </c>
    </row>
    <row r="232" spans="1:6" ht="15.75" customHeight="1">
      <c r="A232" s="182"/>
      <c r="B232" s="186"/>
      <c r="C232" s="193"/>
      <c r="D232" s="193">
        <f>+'Distribucion Programas II '!Q233</f>
        <v>0</v>
      </c>
      <c r="E232" s="193"/>
      <c r="F232" s="191" t="e">
        <f>#N/A</f>
        <v>#N/A</v>
      </c>
    </row>
    <row r="233" spans="1:6" ht="15.75" customHeight="1">
      <c r="A233" s="181" t="s">
        <v>268</v>
      </c>
      <c r="B233" s="181" t="s">
        <v>269</v>
      </c>
      <c r="C233" s="193">
        <f>SUM(C234:C241)</f>
        <v>0</v>
      </c>
      <c r="D233" s="193">
        <f>+'Distribucion Programas II '!Q234</f>
        <v>0</v>
      </c>
      <c r="E233" s="193">
        <f>SUM(E234:E241)</f>
        <v>0</v>
      </c>
      <c r="F233" s="191" t="e">
        <f>#N/A</f>
        <v>#N/A</v>
      </c>
    </row>
    <row r="234" spans="1:6" ht="15.75" customHeight="1">
      <c r="A234" s="184" t="s">
        <v>741</v>
      </c>
      <c r="B234" s="184" t="s">
        <v>749</v>
      </c>
      <c r="C234" s="193">
        <f>+'Distribucion Programas I'!F234</f>
        <v>0</v>
      </c>
      <c r="D234" s="193">
        <f>+'Distribucion Programas II '!Q235</f>
        <v>0</v>
      </c>
      <c r="E234" s="193"/>
      <c r="F234" s="191" t="e">
        <f>#N/A</f>
        <v>#N/A</v>
      </c>
    </row>
    <row r="235" spans="1:6" ht="15.75" customHeight="1">
      <c r="A235" s="184" t="s">
        <v>742</v>
      </c>
      <c r="B235" s="184" t="s">
        <v>750</v>
      </c>
      <c r="C235" s="193">
        <f>+'Distribucion Programas I'!F235</f>
        <v>0</v>
      </c>
      <c r="D235" s="193">
        <f>+'Distribucion Programas II '!Q236</f>
        <v>0</v>
      </c>
      <c r="E235" s="193"/>
      <c r="F235" s="191" t="e">
        <f>#N/A</f>
        <v>#N/A</v>
      </c>
    </row>
    <row r="236" spans="1:6" ht="15.75" customHeight="1">
      <c r="A236" s="184" t="s">
        <v>743</v>
      </c>
      <c r="B236" s="184" t="s">
        <v>751</v>
      </c>
      <c r="C236" s="193">
        <f>+'Distribucion Programas I'!F236</f>
        <v>0</v>
      </c>
      <c r="D236" s="193">
        <f>+'Distribucion Programas II '!Q237</f>
        <v>0</v>
      </c>
      <c r="E236" s="193"/>
      <c r="F236" s="191" t="e">
        <f>#N/A</f>
        <v>#N/A</v>
      </c>
    </row>
    <row r="237" spans="1:6" ht="15.75" customHeight="1">
      <c r="A237" s="184" t="s">
        <v>744</v>
      </c>
      <c r="B237" s="184" t="s">
        <v>752</v>
      </c>
      <c r="C237" s="193">
        <f>+'Distribucion Programas I'!F237</f>
        <v>0</v>
      </c>
      <c r="D237" s="193">
        <f>+'Distribucion Programas II '!Q238</f>
        <v>0</v>
      </c>
      <c r="E237" s="193"/>
      <c r="F237" s="191" t="e">
        <f>#N/A</f>
        <v>#N/A</v>
      </c>
    </row>
    <row r="238" spans="1:6" ht="15.75" customHeight="1">
      <c r="A238" s="184" t="s">
        <v>745</v>
      </c>
      <c r="B238" s="184" t="s">
        <v>753</v>
      </c>
      <c r="C238" s="193">
        <f>+'Distribucion Programas I'!F238</f>
        <v>0</v>
      </c>
      <c r="D238" s="193">
        <f>+'Distribucion Programas II '!Q239</f>
        <v>0</v>
      </c>
      <c r="E238" s="193"/>
      <c r="F238" s="191" t="e">
        <f>#N/A</f>
        <v>#N/A</v>
      </c>
    </row>
    <row r="239" spans="1:6" ht="15.75" customHeight="1">
      <c r="A239" s="203" t="s">
        <v>746</v>
      </c>
      <c r="B239" s="203" t="s">
        <v>754</v>
      </c>
      <c r="C239" s="193">
        <f>+'Distribucion Programas I'!F239</f>
        <v>0</v>
      </c>
      <c r="D239" s="193">
        <f>+'Distribucion Programas II '!Q240</f>
        <v>0</v>
      </c>
      <c r="E239" s="205"/>
      <c r="F239" s="201" t="e">
        <f>#N/A</f>
        <v>#N/A</v>
      </c>
    </row>
    <row r="240" spans="1:6" ht="15.75" customHeight="1">
      <c r="A240" s="184" t="s">
        <v>747</v>
      </c>
      <c r="B240" s="184" t="s">
        <v>755</v>
      </c>
      <c r="C240" s="193">
        <f>+'Distribucion Programas I'!F240</f>
        <v>0</v>
      </c>
      <c r="D240" s="193">
        <f>+'Distribucion Programas II '!Q241</f>
        <v>0</v>
      </c>
      <c r="E240" s="193"/>
      <c r="F240" s="191" t="e">
        <f>#N/A</f>
        <v>#N/A</v>
      </c>
    </row>
    <row r="241" spans="1:7" ht="15.75" customHeight="1">
      <c r="A241" s="184" t="s">
        <v>748</v>
      </c>
      <c r="B241" s="184" t="s">
        <v>756</v>
      </c>
      <c r="C241" s="193">
        <f>+'Distribucion Programas I'!F241</f>
        <v>0</v>
      </c>
      <c r="D241" s="193">
        <f>+'Distribucion Programas II '!Q242</f>
        <v>0</v>
      </c>
      <c r="E241" s="193"/>
      <c r="F241" s="191" t="e">
        <f>#N/A</f>
        <v>#N/A</v>
      </c>
    </row>
    <row r="242" spans="1:7" ht="15.75" customHeight="1">
      <c r="A242" s="183"/>
      <c r="B242" s="186"/>
      <c r="C242" s="193"/>
      <c r="D242" s="193">
        <f>+'Distribucion Programas II '!Q243</f>
        <v>0</v>
      </c>
      <c r="E242" s="193"/>
      <c r="F242" s="191" t="e">
        <f>#N/A</f>
        <v>#N/A</v>
      </c>
    </row>
    <row r="243" spans="1:7" ht="15.75" customHeight="1">
      <c r="A243" s="181" t="s">
        <v>270</v>
      </c>
      <c r="B243" s="181" t="s">
        <v>271</v>
      </c>
      <c r="C243" s="193">
        <f>SUM(C244:C246)</f>
        <v>0</v>
      </c>
      <c r="D243" s="193">
        <f>+'Distribucion Programas II '!Q244</f>
        <v>0</v>
      </c>
      <c r="E243" s="193">
        <f>SUM(E244:E246)</f>
        <v>0</v>
      </c>
      <c r="F243" s="191" t="e">
        <f>#N/A</f>
        <v>#N/A</v>
      </c>
    </row>
    <row r="244" spans="1:7" ht="15.75" customHeight="1">
      <c r="A244" s="184" t="s">
        <v>757</v>
      </c>
      <c r="B244" s="184" t="s">
        <v>760</v>
      </c>
      <c r="C244" s="193">
        <f>+'Distribucion Programas I'!F244</f>
        <v>0</v>
      </c>
      <c r="D244" s="193">
        <f>+'Distribucion Programas II '!Q245</f>
        <v>0</v>
      </c>
      <c r="E244" s="193"/>
      <c r="F244" s="191" t="e">
        <f>#N/A</f>
        <v>#N/A</v>
      </c>
    </row>
    <row r="245" spans="1:7" ht="15.75" customHeight="1">
      <c r="A245" s="184" t="s">
        <v>758</v>
      </c>
      <c r="B245" s="184" t="s">
        <v>761</v>
      </c>
      <c r="C245" s="193">
        <f>+'Distribucion Programas I'!F245</f>
        <v>0</v>
      </c>
      <c r="D245" s="193">
        <f>+'Distribucion Programas II '!Q246</f>
        <v>0</v>
      </c>
      <c r="E245" s="193"/>
      <c r="F245" s="191" t="e">
        <f>#N/A</f>
        <v>#N/A</v>
      </c>
    </row>
    <row r="246" spans="1:7" ht="15.75" customHeight="1">
      <c r="A246" s="184" t="s">
        <v>759</v>
      </c>
      <c r="B246" s="184" t="s">
        <v>762</v>
      </c>
      <c r="C246" s="193">
        <f>+'Distribucion Programas I'!F246</f>
        <v>0</v>
      </c>
      <c r="D246" s="193">
        <f>+'Distribucion Programas II '!Q247</f>
        <v>0</v>
      </c>
      <c r="E246" s="193"/>
      <c r="F246" s="191" t="e">
        <f>#N/A</f>
        <v>#N/A</v>
      </c>
    </row>
    <row r="247" spans="1:7" ht="15.75" customHeight="1">
      <c r="A247" s="183"/>
      <c r="B247" s="186"/>
      <c r="C247" s="193"/>
      <c r="D247" s="193">
        <f>+'Distribucion Programas II '!Q248</f>
        <v>0</v>
      </c>
      <c r="E247" s="193"/>
      <c r="F247" s="191" t="e">
        <f>#N/A</f>
        <v>#N/A</v>
      </c>
    </row>
    <row r="248" spans="1:7" ht="15.75" customHeight="1">
      <c r="A248" s="181" t="s">
        <v>272</v>
      </c>
      <c r="B248" s="181" t="s">
        <v>273</v>
      </c>
      <c r="C248" s="193">
        <f>SUM(C249:C252)</f>
        <v>0</v>
      </c>
      <c r="D248" s="193">
        <f>+'Distribucion Programas II '!Q249</f>
        <v>4500000</v>
      </c>
      <c r="E248" s="193">
        <f>SUM(E249:E252)</f>
        <v>0</v>
      </c>
      <c r="F248" s="191" t="e">
        <f>#N/A</f>
        <v>#N/A</v>
      </c>
    </row>
    <row r="249" spans="1:7" ht="15.75" customHeight="1">
      <c r="A249" s="184" t="s">
        <v>763</v>
      </c>
      <c r="B249" s="184" t="s">
        <v>767</v>
      </c>
      <c r="C249" s="193">
        <f>+'Distribucion Programas I'!F249</f>
        <v>0</v>
      </c>
      <c r="D249" s="193">
        <f>+'Distribucion Programas II '!Q250</f>
        <v>0</v>
      </c>
      <c r="E249" s="193"/>
      <c r="F249" s="191" t="e">
        <f>#N/A</f>
        <v>#N/A</v>
      </c>
    </row>
    <row r="250" spans="1:7" ht="15.75" customHeight="1">
      <c r="A250" s="184" t="s">
        <v>764</v>
      </c>
      <c r="B250" s="184" t="s">
        <v>768</v>
      </c>
      <c r="C250" s="193">
        <f>+'Distribucion Programas I'!F250</f>
        <v>0</v>
      </c>
      <c r="D250" s="193">
        <f>+'Distribucion Programas II '!Q251</f>
        <v>0</v>
      </c>
      <c r="E250" s="193"/>
      <c r="F250" s="191" t="e">
        <f>#N/A</f>
        <v>#N/A</v>
      </c>
    </row>
    <row r="251" spans="1:7" ht="15.75" customHeight="1">
      <c r="A251" s="184" t="s">
        <v>765</v>
      </c>
      <c r="B251" s="184" t="s">
        <v>769</v>
      </c>
      <c r="C251" s="193">
        <f>+'Distribucion Programas I'!F251</f>
        <v>0</v>
      </c>
      <c r="D251" s="193">
        <f>+'Distribucion Programas II '!Q252</f>
        <v>4500000</v>
      </c>
      <c r="E251" s="193"/>
      <c r="F251" s="191" t="e">
        <f>#N/A</f>
        <v>#N/A</v>
      </c>
    </row>
    <row r="252" spans="1:7" ht="15.75" customHeight="1">
      <c r="A252" s="184" t="s">
        <v>766</v>
      </c>
      <c r="B252" s="184" t="s">
        <v>770</v>
      </c>
      <c r="C252" s="193">
        <f>+'Distribucion Programas I'!F252</f>
        <v>0</v>
      </c>
      <c r="D252" s="193">
        <f>+'Distribucion Programas II '!Q253</f>
        <v>0</v>
      </c>
      <c r="E252" s="193"/>
      <c r="F252" s="191" t="e">
        <f>#N/A</f>
        <v>#N/A</v>
      </c>
    </row>
    <row r="253" spans="1:7" ht="15.75" customHeight="1">
      <c r="A253" s="183"/>
      <c r="B253" s="186"/>
      <c r="C253" s="193"/>
      <c r="D253" s="193">
        <f>+'Distribucion Programas II '!Q254</f>
        <v>0</v>
      </c>
      <c r="E253" s="193"/>
      <c r="F253" s="191" t="e">
        <f>#N/A</f>
        <v>#N/A</v>
      </c>
    </row>
    <row r="254" spans="1:7" ht="15.75" customHeight="1">
      <c r="A254" s="181">
        <v>6</v>
      </c>
      <c r="B254" s="181" t="s">
        <v>771</v>
      </c>
      <c r="C254" s="193">
        <f>+C255+C266+C272+C280+C286+C289+C293</f>
        <v>82043760.431041673</v>
      </c>
      <c r="D254" s="193">
        <f>+'Distribucion Programas II '!Q255</f>
        <v>9184462.0899999999</v>
      </c>
      <c r="E254" s="193">
        <f>+E255+E266+E272+E280+E286+E289+E293</f>
        <v>0</v>
      </c>
      <c r="F254" s="191" t="e">
        <f>#N/A</f>
        <v>#N/A</v>
      </c>
      <c r="G254" s="236"/>
    </row>
    <row r="255" spans="1:7" ht="15.75" customHeight="1">
      <c r="A255" s="181" t="s">
        <v>274</v>
      </c>
      <c r="B255" s="181" t="s">
        <v>275</v>
      </c>
      <c r="C255" s="193">
        <f>SUM(C256:C264)</f>
        <v>80614498.115375012</v>
      </c>
      <c r="D255" s="193">
        <f>+'Distribucion Programas II '!Q256</f>
        <v>5000000</v>
      </c>
      <c r="E255" s="193">
        <f>SUM(E256:E264)</f>
        <v>0</v>
      </c>
      <c r="F255" s="191" t="e">
        <f>#N/A</f>
        <v>#N/A</v>
      </c>
    </row>
    <row r="256" spans="1:7" ht="15.75" customHeight="1">
      <c r="A256" s="184" t="s">
        <v>815</v>
      </c>
      <c r="B256" s="184" t="s">
        <v>824</v>
      </c>
      <c r="C256" s="193">
        <f>+'Distribucion Programas I'!F256</f>
        <v>1840000</v>
      </c>
      <c r="D256" s="193">
        <f>+'Distribucion Programas II '!Q257</f>
        <v>0</v>
      </c>
      <c r="E256" s="193"/>
      <c r="F256" s="191" t="e">
        <f>#N/A</f>
        <v>#N/A</v>
      </c>
    </row>
    <row r="257" spans="1:6" ht="15.75" customHeight="1">
      <c r="A257" s="184" t="s">
        <v>816</v>
      </c>
      <c r="B257" s="184" t="s">
        <v>825</v>
      </c>
      <c r="C257" s="193">
        <f>+'Distribucion Programas I'!F257</f>
        <v>6980000</v>
      </c>
      <c r="D257" s="193">
        <f>+'Distribucion Programas II '!Q258</f>
        <v>5000000</v>
      </c>
      <c r="E257" s="193"/>
      <c r="F257" s="191" t="e">
        <f>#N/A</f>
        <v>#N/A</v>
      </c>
    </row>
    <row r="258" spans="1:6" ht="15.75" customHeight="1">
      <c r="A258" s="184" t="s">
        <v>817</v>
      </c>
      <c r="B258" s="184" t="s">
        <v>826</v>
      </c>
      <c r="C258" s="193">
        <f>+'Distribucion Programas I'!F258</f>
        <v>41465933.082050003</v>
      </c>
      <c r="D258" s="193">
        <f>+'Distribucion Programas II '!Q259</f>
        <v>0</v>
      </c>
      <c r="E258" s="193"/>
      <c r="F258" s="191" t="e">
        <f>#N/A</f>
        <v>#N/A</v>
      </c>
    </row>
    <row r="259" spans="1:6" ht="15.75" customHeight="1">
      <c r="A259" s="184" t="s">
        <v>818</v>
      </c>
      <c r="B259" s="184" t="s">
        <v>827</v>
      </c>
      <c r="C259" s="193">
        <f>+'Distribucion Programas I'!F259</f>
        <v>30328565.033325002</v>
      </c>
      <c r="D259" s="193">
        <f>+'Distribucion Programas II '!Q260</f>
        <v>0</v>
      </c>
      <c r="E259" s="193"/>
      <c r="F259" s="191" t="e">
        <f>#N/A</f>
        <v>#N/A</v>
      </c>
    </row>
    <row r="260" spans="1:6" ht="15.75" customHeight="1">
      <c r="A260" s="184" t="s">
        <v>819</v>
      </c>
      <c r="B260" s="184" t="s">
        <v>828</v>
      </c>
      <c r="C260" s="193">
        <f>+'Distribucion Programas I'!F260</f>
        <v>0</v>
      </c>
      <c r="D260" s="193">
        <f>+'Distribucion Programas II '!Q261</f>
        <v>0</v>
      </c>
      <c r="E260" s="193"/>
      <c r="F260" s="191" t="e">
        <f>#N/A</f>
        <v>#N/A</v>
      </c>
    </row>
    <row r="261" spans="1:6" ht="15.75" customHeight="1">
      <c r="A261" s="184" t="s">
        <v>820</v>
      </c>
      <c r="B261" s="184" t="s">
        <v>829</v>
      </c>
      <c r="C261" s="193">
        <f>+'Distribucion Programas I'!F261</f>
        <v>0</v>
      </c>
      <c r="D261" s="193">
        <f>+'Distribucion Programas II '!Q262</f>
        <v>0</v>
      </c>
      <c r="E261" s="193"/>
      <c r="F261" s="191" t="e">
        <f>#N/A</f>
        <v>#N/A</v>
      </c>
    </row>
    <row r="262" spans="1:6" ht="15.75" customHeight="1">
      <c r="A262" s="184" t="s">
        <v>821</v>
      </c>
      <c r="B262" s="184" t="s">
        <v>830</v>
      </c>
      <c r="C262" s="193">
        <f>+'Distribucion Programas I'!F262</f>
        <v>0</v>
      </c>
      <c r="D262" s="193">
        <f>+'Distribucion Programas II '!Q263</f>
        <v>0</v>
      </c>
      <c r="E262" s="193"/>
      <c r="F262" s="191" t="e">
        <f>#N/A</f>
        <v>#N/A</v>
      </c>
    </row>
    <row r="263" spans="1:6" ht="15.75" customHeight="1">
      <c r="A263" s="184" t="s">
        <v>822</v>
      </c>
      <c r="B263" s="184" t="s">
        <v>831</v>
      </c>
      <c r="C263" s="193">
        <f>+'Distribucion Programas I'!F263</f>
        <v>0</v>
      </c>
      <c r="D263" s="193">
        <f>+'Distribucion Programas II '!Q264</f>
        <v>0</v>
      </c>
      <c r="E263" s="193"/>
      <c r="F263" s="191" t="e">
        <f>#N/A</f>
        <v>#N/A</v>
      </c>
    </row>
    <row r="264" spans="1:6" ht="15.75" customHeight="1">
      <c r="A264" s="184" t="s">
        <v>823</v>
      </c>
      <c r="B264" s="184" t="s">
        <v>832</v>
      </c>
      <c r="C264" s="193">
        <f>+'Distribucion Programas I'!F264</f>
        <v>0</v>
      </c>
      <c r="D264" s="193">
        <f>+'Distribucion Programas II '!Q265</f>
        <v>0</v>
      </c>
      <c r="E264" s="193"/>
      <c r="F264" s="191" t="e">
        <f>#N/A</f>
        <v>#N/A</v>
      </c>
    </row>
    <row r="265" spans="1:6" ht="15.75" customHeight="1">
      <c r="A265" s="183"/>
      <c r="B265" s="186"/>
      <c r="C265" s="193"/>
      <c r="D265" s="193">
        <f>+'Distribucion Programas II '!Q266</f>
        <v>0</v>
      </c>
      <c r="E265" s="193"/>
      <c r="F265" s="191" t="e">
        <f>#N/A</f>
        <v>#N/A</v>
      </c>
    </row>
    <row r="266" spans="1:6" ht="15.75" customHeight="1">
      <c r="A266" s="189" t="s">
        <v>276</v>
      </c>
      <c r="B266" s="189" t="s">
        <v>277</v>
      </c>
      <c r="C266" s="205">
        <f>SUM(C267:C270)</f>
        <v>0</v>
      </c>
      <c r="D266" s="193">
        <f>+'Distribucion Programas II '!Q267</f>
        <v>550000</v>
      </c>
      <c r="E266" s="205">
        <f>SUM(E267:E270)</f>
        <v>0</v>
      </c>
      <c r="F266" s="201" t="e">
        <f>#N/A</f>
        <v>#N/A</v>
      </c>
    </row>
    <row r="267" spans="1:6" ht="15.75" customHeight="1">
      <c r="A267" s="184" t="s">
        <v>772</v>
      </c>
      <c r="B267" s="184" t="s">
        <v>776</v>
      </c>
      <c r="C267" s="193">
        <f>+'Distribucion Programas I'!F267</f>
        <v>0</v>
      </c>
      <c r="D267" s="193">
        <f>+'Distribucion Programas II '!Q268</f>
        <v>0</v>
      </c>
      <c r="E267" s="193"/>
      <c r="F267" s="191" t="e">
        <f>#N/A</f>
        <v>#N/A</v>
      </c>
    </row>
    <row r="268" spans="1:6" ht="15.75" customHeight="1">
      <c r="A268" s="184" t="s">
        <v>773</v>
      </c>
      <c r="B268" s="184" t="s">
        <v>777</v>
      </c>
      <c r="C268" s="193">
        <f>+'Distribucion Programas I'!F268</f>
        <v>0</v>
      </c>
      <c r="D268" s="193">
        <f>+'Distribucion Programas II '!Q269</f>
        <v>0</v>
      </c>
      <c r="E268" s="193"/>
      <c r="F268" s="191" t="e">
        <f>#N/A</f>
        <v>#N/A</v>
      </c>
    </row>
    <row r="269" spans="1:6" ht="15.75" customHeight="1">
      <c r="A269" s="184" t="s">
        <v>774</v>
      </c>
      <c r="B269" s="184" t="s">
        <v>778</v>
      </c>
      <c r="C269" s="193">
        <f>+'Distribucion Programas I'!F269</f>
        <v>0</v>
      </c>
      <c r="D269" s="193">
        <f>+'Distribucion Programas II '!Q270</f>
        <v>550000</v>
      </c>
      <c r="E269" s="193"/>
      <c r="F269" s="191" t="e">
        <f>#N/A</f>
        <v>#N/A</v>
      </c>
    </row>
    <row r="270" spans="1:6" ht="15.75" customHeight="1">
      <c r="A270" s="184" t="s">
        <v>775</v>
      </c>
      <c r="B270" s="184" t="s">
        <v>779</v>
      </c>
      <c r="C270" s="193">
        <f>+'Distribucion Programas I'!F270</f>
        <v>0</v>
      </c>
      <c r="D270" s="193">
        <f>+'Distribucion Programas II '!Q271</f>
        <v>0</v>
      </c>
      <c r="E270" s="193"/>
      <c r="F270" s="191" t="e">
        <f>#N/A</f>
        <v>#N/A</v>
      </c>
    </row>
    <row r="271" spans="1:6" ht="15.75" customHeight="1">
      <c r="A271" s="183"/>
      <c r="B271" s="186"/>
      <c r="C271" s="193"/>
      <c r="D271" s="193">
        <f>+'Distribucion Programas II '!Q272</f>
        <v>0</v>
      </c>
      <c r="E271" s="193"/>
      <c r="F271" s="191" t="e">
        <f>#N/A</f>
        <v>#N/A</v>
      </c>
    </row>
    <row r="272" spans="1:6" ht="15.75" customHeight="1">
      <c r="A272" s="181" t="s">
        <v>278</v>
      </c>
      <c r="B272" s="181" t="s">
        <v>279</v>
      </c>
      <c r="C272" s="193">
        <f>SUM(C273:C278)</f>
        <v>1429262.3156666665</v>
      </c>
      <c r="D272" s="193">
        <f>+'Distribucion Programas II '!Q273</f>
        <v>1634462.0899999999</v>
      </c>
      <c r="E272" s="193">
        <f>SUM(E273:E278)</f>
        <v>0</v>
      </c>
      <c r="F272" s="191" t="e">
        <f>#N/A</f>
        <v>#N/A</v>
      </c>
    </row>
    <row r="273" spans="1:6" ht="15.75" customHeight="1">
      <c r="A273" s="184" t="s">
        <v>780</v>
      </c>
      <c r="B273" s="184" t="s">
        <v>786</v>
      </c>
      <c r="C273" s="193">
        <f>+'Distribucion Programas I'!F273</f>
        <v>0</v>
      </c>
      <c r="D273" s="193">
        <f>+'Distribucion Programas II '!Q274</f>
        <v>1634462.0899999999</v>
      </c>
      <c r="E273" s="193"/>
      <c r="F273" s="191" t="e">
        <f>#N/A</f>
        <v>#N/A</v>
      </c>
    </row>
    <row r="274" spans="1:6" ht="15.75" customHeight="1">
      <c r="A274" s="184" t="s">
        <v>781</v>
      </c>
      <c r="B274" s="184" t="s">
        <v>787</v>
      </c>
      <c r="C274" s="193">
        <f>+'Distribucion Programas I'!F274</f>
        <v>0</v>
      </c>
      <c r="D274" s="193">
        <f>+'Distribucion Programas II '!Q275</f>
        <v>0</v>
      </c>
      <c r="E274" s="193"/>
      <c r="F274" s="191" t="e">
        <f>#N/A</f>
        <v>#N/A</v>
      </c>
    </row>
    <row r="275" spans="1:6" ht="15.75" customHeight="1">
      <c r="A275" s="184" t="s">
        <v>782</v>
      </c>
      <c r="B275" s="184" t="s">
        <v>788</v>
      </c>
      <c r="C275" s="193">
        <f>+'Distribucion Programas I'!F275</f>
        <v>1266702.2</v>
      </c>
      <c r="D275" s="193">
        <f>+'Distribucion Programas II '!Q276</f>
        <v>0</v>
      </c>
      <c r="E275" s="193"/>
      <c r="F275" s="191" t="e">
        <f>#N/A</f>
        <v>#N/A</v>
      </c>
    </row>
    <row r="276" spans="1:6" ht="20.25" customHeight="1">
      <c r="A276" s="184" t="s">
        <v>783</v>
      </c>
      <c r="B276" s="215" t="s">
        <v>789</v>
      </c>
      <c r="C276" s="193">
        <f>+'Distribucion Programas I'!F276</f>
        <v>105558.51666666666</v>
      </c>
      <c r="D276" s="193">
        <f>+'Distribucion Programas II '!Q277</f>
        <v>0</v>
      </c>
      <c r="E276" s="193"/>
      <c r="F276" s="191" t="e">
        <f>#N/A</f>
        <v>#N/A</v>
      </c>
    </row>
    <row r="277" spans="1:6" ht="28.5" customHeight="1">
      <c r="A277" s="184" t="s">
        <v>784</v>
      </c>
      <c r="B277" s="215" t="s">
        <v>791</v>
      </c>
      <c r="C277" s="193">
        <f>+'Distribucion Programas I'!F277</f>
        <v>57001.598999999995</v>
      </c>
      <c r="D277" s="193">
        <f>+'Distribucion Programas II '!Q278</f>
        <v>0</v>
      </c>
      <c r="E277" s="193"/>
      <c r="F277" s="191" t="e">
        <f>#N/A</f>
        <v>#N/A</v>
      </c>
    </row>
    <row r="278" spans="1:6" ht="15.75" customHeight="1">
      <c r="A278" s="184" t="s">
        <v>785</v>
      </c>
      <c r="B278" s="184" t="s">
        <v>792</v>
      </c>
      <c r="C278" s="193">
        <f>+'Distribucion Programas I'!F278</f>
        <v>0</v>
      </c>
      <c r="D278" s="193">
        <f>+'Distribucion Programas II '!Q279</f>
        <v>0</v>
      </c>
      <c r="E278" s="193"/>
      <c r="F278" s="191" t="e">
        <f>#N/A</f>
        <v>#N/A</v>
      </c>
    </row>
    <row r="279" spans="1:6" ht="15.75" customHeight="1">
      <c r="A279" s="183"/>
      <c r="B279" s="186"/>
      <c r="C279" s="193"/>
      <c r="D279" s="193">
        <f>+'Distribucion Programas II '!Q280</f>
        <v>0</v>
      </c>
      <c r="E279" s="193"/>
      <c r="F279" s="191" t="e">
        <f>#N/A</f>
        <v>#N/A</v>
      </c>
    </row>
    <row r="280" spans="1:6" ht="28.5" customHeight="1">
      <c r="A280" s="181" t="s">
        <v>793</v>
      </c>
      <c r="B280" s="181" t="s">
        <v>794</v>
      </c>
      <c r="C280" s="193">
        <f>+'Distribucion Programas I'!F280</f>
        <v>0</v>
      </c>
      <c r="D280" s="193">
        <f>+'Distribucion Programas II '!Q281</f>
        <v>0</v>
      </c>
      <c r="E280" s="193">
        <f>SUM(E281:E284)</f>
        <v>0</v>
      </c>
      <c r="F280" s="191" t="e">
        <f>#N/A</f>
        <v>#N/A</v>
      </c>
    </row>
    <row r="281" spans="1:6" ht="15.75" customHeight="1">
      <c r="A281" s="184" t="s">
        <v>795</v>
      </c>
      <c r="B281" s="184" t="s">
        <v>799</v>
      </c>
      <c r="C281" s="193">
        <f>+'Distribucion Programas I'!F281</f>
        <v>0</v>
      </c>
      <c r="D281" s="193">
        <f>+'Distribucion Programas II '!Q282</f>
        <v>0</v>
      </c>
      <c r="E281" s="193"/>
      <c r="F281" s="191" t="e">
        <f>#N/A</f>
        <v>#N/A</v>
      </c>
    </row>
    <row r="282" spans="1:6" ht="15.75" customHeight="1">
      <c r="A282" s="184" t="s">
        <v>796</v>
      </c>
      <c r="B282" s="184" t="s">
        <v>800</v>
      </c>
      <c r="C282" s="193">
        <f>+'Distribucion Programas I'!F282</f>
        <v>0</v>
      </c>
      <c r="D282" s="193">
        <f>+'Distribucion Programas II '!Q283</f>
        <v>0</v>
      </c>
      <c r="E282" s="193"/>
      <c r="F282" s="191" t="e">
        <f>#N/A</f>
        <v>#N/A</v>
      </c>
    </row>
    <row r="283" spans="1:6" ht="15.75" customHeight="1">
      <c r="A283" s="184" t="s">
        <v>797</v>
      </c>
      <c r="B283" s="184" t="s">
        <v>801</v>
      </c>
      <c r="C283" s="193">
        <f>+'Distribucion Programas I'!F283</f>
        <v>0</v>
      </c>
      <c r="D283" s="193">
        <f>+'Distribucion Programas II '!Q284</f>
        <v>0</v>
      </c>
      <c r="E283" s="193"/>
      <c r="F283" s="191" t="e">
        <f>#N/A</f>
        <v>#N/A</v>
      </c>
    </row>
    <row r="284" spans="1:6" ht="15.75" customHeight="1">
      <c r="A284" s="184" t="s">
        <v>798</v>
      </c>
      <c r="B284" s="184" t="s">
        <v>802</v>
      </c>
      <c r="C284" s="193">
        <f>+'Distribucion Programas I'!F284</f>
        <v>0</v>
      </c>
      <c r="D284" s="193">
        <f>+'Distribucion Programas II '!Q285</f>
        <v>0</v>
      </c>
      <c r="E284" s="193"/>
      <c r="F284" s="191" t="e">
        <f>#N/A</f>
        <v>#N/A</v>
      </c>
    </row>
    <row r="285" spans="1:6" ht="15.75" customHeight="1">
      <c r="A285" s="184"/>
      <c r="B285" s="184"/>
      <c r="C285" s="193">
        <f>+'Distribucion Programas I'!F285</f>
        <v>0</v>
      </c>
      <c r="D285" s="193">
        <f>+'Distribucion Programas II '!Q286</f>
        <v>0</v>
      </c>
      <c r="E285" s="193"/>
      <c r="F285" s="191" t="e">
        <f>#N/A</f>
        <v>#N/A</v>
      </c>
    </row>
    <row r="286" spans="1:6" ht="15.75" customHeight="1">
      <c r="A286" s="181" t="s">
        <v>803</v>
      </c>
      <c r="B286" s="181" t="s">
        <v>804</v>
      </c>
      <c r="C286" s="193">
        <f>+'Distribucion Programas I'!F286</f>
        <v>0</v>
      </c>
      <c r="D286" s="193">
        <f>+'Distribucion Programas II '!Q287</f>
        <v>0</v>
      </c>
      <c r="E286" s="193">
        <f>SUM(E287)</f>
        <v>0</v>
      </c>
      <c r="F286" s="191" t="e">
        <f>#N/A</f>
        <v>#N/A</v>
      </c>
    </row>
    <row r="287" spans="1:6" ht="15.75" customHeight="1">
      <c r="A287" s="184" t="s">
        <v>806</v>
      </c>
      <c r="B287" s="184" t="s">
        <v>805</v>
      </c>
      <c r="C287" s="193">
        <f>+'Distribucion Programas I'!F287</f>
        <v>0</v>
      </c>
      <c r="D287" s="193">
        <f>+'Distribucion Programas II '!Q288</f>
        <v>0</v>
      </c>
      <c r="E287" s="193"/>
      <c r="F287" s="191" t="e">
        <f>#N/A</f>
        <v>#N/A</v>
      </c>
    </row>
    <row r="288" spans="1:6" ht="15.75" customHeight="1">
      <c r="A288" s="310"/>
      <c r="B288" s="308"/>
      <c r="C288" s="193">
        <f>+'Distribucion Programas I'!F288</f>
        <v>0</v>
      </c>
      <c r="D288" s="193">
        <f>+'Distribucion Programas II '!Q289</f>
        <v>0</v>
      </c>
      <c r="E288" s="309"/>
      <c r="F288" s="311"/>
    </row>
    <row r="289" spans="1:6" ht="15.75" customHeight="1">
      <c r="A289" s="189" t="s">
        <v>280</v>
      </c>
      <c r="B289" s="189" t="s">
        <v>281</v>
      </c>
      <c r="C289" s="193">
        <f>+'Distribucion Programas I'!F289</f>
        <v>0</v>
      </c>
      <c r="D289" s="193">
        <f>+'Distribucion Programas II '!Q290</f>
        <v>2000000</v>
      </c>
      <c r="E289" s="205">
        <f>SUM(E290:E291)</f>
        <v>0</v>
      </c>
      <c r="F289" s="201" t="e">
        <f>#N/A</f>
        <v>#N/A</v>
      </c>
    </row>
    <row r="290" spans="1:6" ht="15.75" customHeight="1">
      <c r="A290" s="184" t="s">
        <v>807</v>
      </c>
      <c r="B290" s="184" t="s">
        <v>809</v>
      </c>
      <c r="C290" s="193">
        <f>+'Distribucion Programas I'!F290</f>
        <v>0</v>
      </c>
      <c r="D290" s="193">
        <f>+'Distribucion Programas II '!Q291</f>
        <v>2000000</v>
      </c>
      <c r="E290" s="193"/>
      <c r="F290" s="191" t="e">
        <f>#N/A</f>
        <v>#N/A</v>
      </c>
    </row>
    <row r="291" spans="1:6" ht="15.75" customHeight="1">
      <c r="A291" s="184" t="s">
        <v>808</v>
      </c>
      <c r="B291" s="184" t="s">
        <v>810</v>
      </c>
      <c r="C291" s="193">
        <f>+'Distribucion Programas I'!F291</f>
        <v>0</v>
      </c>
      <c r="D291" s="193">
        <f>+'Distribucion Programas II '!Q292</f>
        <v>0</v>
      </c>
      <c r="E291" s="193"/>
      <c r="F291" s="191" t="e">
        <f>#N/A</f>
        <v>#N/A</v>
      </c>
    </row>
    <row r="292" spans="1:6" ht="15.75" customHeight="1">
      <c r="A292" s="183"/>
      <c r="B292" s="186"/>
      <c r="C292" s="193">
        <f>+'Distribucion Programas I'!F292</f>
        <v>0</v>
      </c>
      <c r="D292" s="193">
        <f>+'Distribucion Programas II '!Q293</f>
        <v>0</v>
      </c>
      <c r="E292" s="193"/>
      <c r="F292" s="191" t="e">
        <f>#N/A</f>
        <v>#N/A</v>
      </c>
    </row>
    <row r="293" spans="1:6" ht="15.75" customHeight="1">
      <c r="A293" s="181" t="s">
        <v>282</v>
      </c>
      <c r="B293" s="181" t="s">
        <v>283</v>
      </c>
      <c r="C293" s="193">
        <f>+'Distribucion Programas I'!F293</f>
        <v>0</v>
      </c>
      <c r="D293" s="193">
        <f>+'Distribucion Programas II '!Q294</f>
        <v>0</v>
      </c>
      <c r="E293" s="193">
        <f>SUM(E294:E295)</f>
        <v>0</v>
      </c>
      <c r="F293" s="191" t="e">
        <f>#N/A</f>
        <v>#N/A</v>
      </c>
    </row>
    <row r="294" spans="1:6" ht="15.75" customHeight="1">
      <c r="A294" s="184" t="s">
        <v>811</v>
      </c>
      <c r="B294" s="184" t="s">
        <v>813</v>
      </c>
      <c r="C294" s="193">
        <f>+'Distribucion Programas I'!F294</f>
        <v>0</v>
      </c>
      <c r="D294" s="193">
        <f>+'Distribucion Programas II '!Q295</f>
        <v>0</v>
      </c>
      <c r="E294" s="193"/>
      <c r="F294" s="191" t="e">
        <f>#N/A</f>
        <v>#N/A</v>
      </c>
    </row>
    <row r="295" spans="1:6" ht="15.75" customHeight="1">
      <c r="A295" s="184" t="s">
        <v>812</v>
      </c>
      <c r="B295" s="184" t="s">
        <v>814</v>
      </c>
      <c r="C295" s="193">
        <f>+'Distribucion Programas I'!F295</f>
        <v>0</v>
      </c>
      <c r="D295" s="193">
        <f>+'Distribucion Programas II '!Q296</f>
        <v>0</v>
      </c>
      <c r="E295" s="193"/>
      <c r="F295" s="191" t="e">
        <f>#N/A</f>
        <v>#N/A</v>
      </c>
    </row>
    <row r="296" spans="1:6" ht="15.75" customHeight="1">
      <c r="A296" s="183"/>
      <c r="B296" s="186"/>
      <c r="C296" s="193">
        <f>+'Distribucion Programas I'!F296</f>
        <v>0</v>
      </c>
      <c r="D296" s="193">
        <f>+'Distribucion Programas II '!Q297</f>
        <v>0</v>
      </c>
      <c r="E296" s="193"/>
      <c r="F296" s="191" t="e">
        <f>#N/A</f>
        <v>#N/A</v>
      </c>
    </row>
    <row r="297" spans="1:6" ht="15.75" customHeight="1">
      <c r="A297" s="181">
        <v>7</v>
      </c>
      <c r="B297" s="181" t="s">
        <v>833</v>
      </c>
      <c r="C297" s="193">
        <f>+'Distribucion Programas I'!F297</f>
        <v>0</v>
      </c>
      <c r="D297" s="193">
        <f>+'Distribucion Programas II '!Q298</f>
        <v>0</v>
      </c>
      <c r="E297" s="193">
        <f>+E298+E307+E310+E316+E319</f>
        <v>0</v>
      </c>
      <c r="F297" s="191" t="e">
        <f>#N/A</f>
        <v>#N/A</v>
      </c>
    </row>
    <row r="298" spans="1:6" ht="15.75" customHeight="1">
      <c r="A298" s="181" t="s">
        <v>284</v>
      </c>
      <c r="B298" s="181" t="s">
        <v>285</v>
      </c>
      <c r="C298" s="193">
        <f>+'Distribucion Programas I'!F298</f>
        <v>0</v>
      </c>
      <c r="D298" s="193">
        <f>+'Distribucion Programas II '!Q299</f>
        <v>0</v>
      </c>
      <c r="E298" s="193">
        <f>SUM(E299:E305)</f>
        <v>0</v>
      </c>
      <c r="F298" s="191" t="e">
        <f>#N/A</f>
        <v>#N/A</v>
      </c>
    </row>
    <row r="299" spans="1:6" ht="15.75" customHeight="1">
      <c r="A299" s="184" t="s">
        <v>834</v>
      </c>
      <c r="B299" s="184" t="s">
        <v>840</v>
      </c>
      <c r="C299" s="193">
        <f>+'Distribucion Programas I'!F299</f>
        <v>0</v>
      </c>
      <c r="D299" s="193">
        <f>+'Distribucion Programas II '!Q300</f>
        <v>0</v>
      </c>
      <c r="E299" s="193"/>
      <c r="F299" s="191" t="e">
        <f>#N/A</f>
        <v>#N/A</v>
      </c>
    </row>
    <row r="300" spans="1:6" ht="15.75" customHeight="1">
      <c r="A300" s="184" t="s">
        <v>835</v>
      </c>
      <c r="B300" s="184" t="s">
        <v>841</v>
      </c>
      <c r="C300" s="193">
        <f>+'Distribucion Programas I'!F300</f>
        <v>0</v>
      </c>
      <c r="D300" s="193">
        <f>+'Distribucion Programas II '!Q301</f>
        <v>0</v>
      </c>
      <c r="E300" s="193"/>
      <c r="F300" s="191" t="e">
        <f>#N/A</f>
        <v>#N/A</v>
      </c>
    </row>
    <row r="301" spans="1:6" ht="15.75" customHeight="1">
      <c r="A301" s="184" t="s">
        <v>836</v>
      </c>
      <c r="B301" s="184" t="s">
        <v>842</v>
      </c>
      <c r="C301" s="193">
        <f>+'Distribucion Programas I'!F301</f>
        <v>0</v>
      </c>
      <c r="D301" s="193">
        <f>+'Distribucion Programas II '!Q302</f>
        <v>0</v>
      </c>
      <c r="E301" s="193"/>
      <c r="F301" s="191" t="e">
        <f>#N/A</f>
        <v>#N/A</v>
      </c>
    </row>
    <row r="302" spans="1:6" ht="15.75" customHeight="1">
      <c r="A302" s="184" t="s">
        <v>837</v>
      </c>
      <c r="B302" s="184" t="s">
        <v>843</v>
      </c>
      <c r="C302" s="193">
        <f>+'Distribucion Programas I'!F302</f>
        <v>0</v>
      </c>
      <c r="D302" s="193">
        <f>+'Distribucion Programas II '!Q303</f>
        <v>0</v>
      </c>
      <c r="E302" s="193"/>
      <c r="F302" s="191" t="e">
        <f>#N/A</f>
        <v>#N/A</v>
      </c>
    </row>
    <row r="303" spans="1:6" ht="15.75" customHeight="1">
      <c r="A303" s="184"/>
      <c r="B303" s="184" t="s">
        <v>844</v>
      </c>
      <c r="C303" s="193">
        <f>+'Distribucion Programas I'!F303</f>
        <v>0</v>
      </c>
      <c r="D303" s="193">
        <f>+'Distribucion Programas II '!Q304</f>
        <v>0</v>
      </c>
      <c r="E303" s="193"/>
      <c r="F303" s="191" t="e">
        <f>#N/A</f>
        <v>#N/A</v>
      </c>
    </row>
    <row r="304" spans="1:6" ht="15.75" customHeight="1">
      <c r="A304" s="184" t="s">
        <v>838</v>
      </c>
      <c r="B304" s="184" t="s">
        <v>845</v>
      </c>
      <c r="C304" s="193">
        <f>+'Distribucion Programas I'!F304</f>
        <v>0</v>
      </c>
      <c r="D304" s="193">
        <f>+'Distribucion Programas II '!Q305</f>
        <v>0</v>
      </c>
      <c r="E304" s="193"/>
      <c r="F304" s="191" t="e">
        <f>#N/A</f>
        <v>#N/A</v>
      </c>
    </row>
    <row r="305" spans="1:6" ht="15.75" customHeight="1">
      <c r="A305" s="184" t="s">
        <v>839</v>
      </c>
      <c r="B305" s="184" t="s">
        <v>846</v>
      </c>
      <c r="C305" s="193">
        <f>+'Distribucion Programas I'!F305</f>
        <v>0</v>
      </c>
      <c r="D305" s="193">
        <f>+'Distribucion Programas II '!Q306</f>
        <v>0</v>
      </c>
      <c r="E305" s="193"/>
      <c r="F305" s="191" t="e">
        <f>#N/A</f>
        <v>#N/A</v>
      </c>
    </row>
    <row r="306" spans="1:6" ht="15.75" customHeight="1">
      <c r="A306" s="183"/>
      <c r="B306" s="186"/>
      <c r="C306" s="193">
        <f>+'Distribucion Programas I'!F306</f>
        <v>0</v>
      </c>
      <c r="D306" s="193">
        <f>+'Distribucion Programas II '!Q307</f>
        <v>0</v>
      </c>
      <c r="E306" s="193"/>
      <c r="F306" s="191" t="e">
        <f>#N/A</f>
        <v>#N/A</v>
      </c>
    </row>
    <row r="307" spans="1:6" ht="15.75" customHeight="1">
      <c r="A307" s="181" t="s">
        <v>847</v>
      </c>
      <c r="B307" s="181" t="s">
        <v>848</v>
      </c>
      <c r="C307" s="193">
        <f>+'Distribucion Programas I'!F307</f>
        <v>0</v>
      </c>
      <c r="D307" s="193">
        <f>+'Distribucion Programas II '!Q308</f>
        <v>0</v>
      </c>
      <c r="E307" s="193">
        <f>SUM(E308)</f>
        <v>0</v>
      </c>
      <c r="F307" s="191" t="e">
        <f>#N/A</f>
        <v>#N/A</v>
      </c>
    </row>
    <row r="308" spans="1:6" ht="15.75" customHeight="1">
      <c r="A308" s="184" t="s">
        <v>850</v>
      </c>
      <c r="B308" s="184" t="s">
        <v>849</v>
      </c>
      <c r="C308" s="193">
        <f>+'Distribucion Programas I'!F308</f>
        <v>0</v>
      </c>
      <c r="D308" s="193">
        <f>+'Distribucion Programas II '!Q309</f>
        <v>0</v>
      </c>
      <c r="E308" s="193"/>
      <c r="F308" s="191" t="e">
        <f>#N/A</f>
        <v>#N/A</v>
      </c>
    </row>
    <row r="309" spans="1:6" ht="10.5" customHeight="1">
      <c r="A309" s="183"/>
      <c r="B309" s="186"/>
      <c r="C309" s="193">
        <f>+'Distribucion Programas I'!F309</f>
        <v>0</v>
      </c>
      <c r="D309" s="193">
        <f>+'Distribucion Programas II '!Q310</f>
        <v>0</v>
      </c>
      <c r="E309" s="193"/>
      <c r="F309" s="191" t="e">
        <f>#N/A</f>
        <v>#N/A</v>
      </c>
    </row>
    <row r="310" spans="1:6" ht="15.75" customHeight="1">
      <c r="A310" s="189" t="s">
        <v>178</v>
      </c>
      <c r="B310" s="189" t="s">
        <v>851</v>
      </c>
      <c r="C310" s="193">
        <f>+'Distribucion Programas I'!F310</f>
        <v>0</v>
      </c>
      <c r="D310" s="193">
        <f>+'Distribucion Programas II '!Q311</f>
        <v>0</v>
      </c>
      <c r="E310" s="193">
        <f>SUM(E311:E314)</f>
        <v>0</v>
      </c>
      <c r="F310" s="191" t="e">
        <f>#N/A</f>
        <v>#N/A</v>
      </c>
    </row>
    <row r="311" spans="1:6" ht="15.75" customHeight="1">
      <c r="A311" s="184" t="s">
        <v>852</v>
      </c>
      <c r="B311" s="184" t="s">
        <v>856</v>
      </c>
      <c r="C311" s="193">
        <f>+'Distribucion Programas I'!F311</f>
        <v>0</v>
      </c>
      <c r="D311" s="193">
        <f>+'Distribucion Programas II '!Q312</f>
        <v>0</v>
      </c>
      <c r="E311" s="193"/>
      <c r="F311" s="191" t="e">
        <f>#N/A</f>
        <v>#N/A</v>
      </c>
    </row>
    <row r="312" spans="1:6" ht="15.75" customHeight="1">
      <c r="A312" s="184" t="s">
        <v>853</v>
      </c>
      <c r="B312" s="184" t="s">
        <v>857</v>
      </c>
      <c r="C312" s="193">
        <f>+'Distribucion Programas I'!F312</f>
        <v>0</v>
      </c>
      <c r="D312" s="193">
        <f>+'Distribucion Programas II '!Q313</f>
        <v>0</v>
      </c>
      <c r="E312" s="193"/>
      <c r="F312" s="191" t="e">
        <f>#N/A</f>
        <v>#N/A</v>
      </c>
    </row>
    <row r="313" spans="1:6" ht="15.75" customHeight="1">
      <c r="A313" s="184" t="s">
        <v>854</v>
      </c>
      <c r="B313" s="184" t="s">
        <v>858</v>
      </c>
      <c r="C313" s="193">
        <f>+'Distribucion Programas I'!F313</f>
        <v>0</v>
      </c>
      <c r="D313" s="193">
        <f>+'Distribucion Programas II '!Q314</f>
        <v>0</v>
      </c>
      <c r="E313" s="193"/>
      <c r="F313" s="191" t="e">
        <f>#N/A</f>
        <v>#N/A</v>
      </c>
    </row>
    <row r="314" spans="1:6" ht="15.75" customHeight="1">
      <c r="A314" s="184" t="s">
        <v>855</v>
      </c>
      <c r="B314" s="184" t="s">
        <v>859</v>
      </c>
      <c r="C314" s="193">
        <f>+'Distribucion Programas I'!F314</f>
        <v>0</v>
      </c>
      <c r="D314" s="193">
        <f>+'Distribucion Programas II '!Q315</f>
        <v>0</v>
      </c>
      <c r="E314" s="193"/>
      <c r="F314" s="191" t="e">
        <f>#N/A</f>
        <v>#N/A</v>
      </c>
    </row>
    <row r="315" spans="1:6" ht="10.5" customHeight="1">
      <c r="A315" s="183"/>
      <c r="B315" s="186"/>
      <c r="C315" s="193">
        <f>+'Distribucion Programas I'!F315</f>
        <v>0</v>
      </c>
      <c r="D315" s="193">
        <f>+'Distribucion Programas II '!Q316</f>
        <v>0</v>
      </c>
      <c r="E315" s="193"/>
      <c r="F315" s="191" t="e">
        <f>#N/A</f>
        <v>#N/A</v>
      </c>
    </row>
    <row r="316" spans="1:6" ht="15.75" customHeight="1">
      <c r="A316" s="181" t="s">
        <v>860</v>
      </c>
      <c r="B316" s="181" t="s">
        <v>861</v>
      </c>
      <c r="C316" s="193">
        <f>+'Distribucion Programas I'!F316</f>
        <v>0</v>
      </c>
      <c r="D316" s="193">
        <f>+'Distribucion Programas II '!Q317</f>
        <v>0</v>
      </c>
      <c r="E316" s="193">
        <f>+E317</f>
        <v>0</v>
      </c>
      <c r="F316" s="191" t="e">
        <f>#N/A</f>
        <v>#N/A</v>
      </c>
    </row>
    <row r="317" spans="1:6" ht="15.75" customHeight="1">
      <c r="A317" s="184" t="s">
        <v>863</v>
      </c>
      <c r="B317" s="184" t="s">
        <v>862</v>
      </c>
      <c r="C317" s="193">
        <f>+'Distribucion Programas I'!F317</f>
        <v>0</v>
      </c>
      <c r="D317" s="193">
        <f>+'Distribucion Programas II '!Q318</f>
        <v>0</v>
      </c>
      <c r="E317" s="193"/>
      <c r="F317" s="191" t="e">
        <f>#N/A</f>
        <v>#N/A</v>
      </c>
    </row>
    <row r="318" spans="1:6" ht="9.75" customHeight="1">
      <c r="A318" s="183"/>
      <c r="B318" s="186"/>
      <c r="C318" s="193">
        <f>+'Distribucion Programas I'!F318</f>
        <v>0</v>
      </c>
      <c r="D318" s="193">
        <f>+'Distribucion Programas II '!Q319</f>
        <v>0</v>
      </c>
      <c r="E318" s="193"/>
      <c r="F318" s="191" t="e">
        <f>#N/A</f>
        <v>#N/A</v>
      </c>
    </row>
    <row r="319" spans="1:6" ht="15.75" customHeight="1">
      <c r="A319" s="181" t="s">
        <v>286</v>
      </c>
      <c r="B319" s="181" t="s">
        <v>287</v>
      </c>
      <c r="C319" s="193">
        <f>+'Distribucion Programas I'!F319</f>
        <v>0</v>
      </c>
      <c r="D319" s="193">
        <f>+'Distribucion Programas II '!Q320</f>
        <v>0</v>
      </c>
      <c r="E319" s="193">
        <f>SUM(E320:E321)</f>
        <v>0</v>
      </c>
      <c r="F319" s="191" t="e">
        <f>#N/A</f>
        <v>#N/A</v>
      </c>
    </row>
    <row r="320" spans="1:6" ht="15.75" customHeight="1">
      <c r="A320" s="184" t="s">
        <v>864</v>
      </c>
      <c r="B320" s="184" t="s">
        <v>866</v>
      </c>
      <c r="C320" s="193">
        <f>+'Distribucion Programas I'!F320</f>
        <v>0</v>
      </c>
      <c r="D320" s="193">
        <f>+'Distribucion Programas II '!Q321</f>
        <v>0</v>
      </c>
      <c r="E320" s="193"/>
      <c r="F320" s="191" t="e">
        <f>#N/A</f>
        <v>#N/A</v>
      </c>
    </row>
    <row r="321" spans="1:6" ht="15.75" customHeight="1">
      <c r="A321" s="184" t="s">
        <v>865</v>
      </c>
      <c r="B321" s="184" t="s">
        <v>867</v>
      </c>
      <c r="C321" s="193">
        <f>+'Distribucion Programas I'!F321</f>
        <v>0</v>
      </c>
      <c r="D321" s="193">
        <f>+'Distribucion Programas II '!Q322</f>
        <v>0</v>
      </c>
      <c r="E321" s="193"/>
      <c r="F321" s="191" t="e">
        <f>#N/A</f>
        <v>#N/A</v>
      </c>
    </row>
    <row r="322" spans="1:6" ht="10.5" customHeight="1">
      <c r="A322" s="184"/>
      <c r="B322" s="184"/>
      <c r="C322" s="193">
        <f>+'Distribucion Programas I'!F322</f>
        <v>0</v>
      </c>
      <c r="D322" s="193">
        <f>+'Distribucion Programas II '!Q323</f>
        <v>0</v>
      </c>
      <c r="E322" s="193"/>
      <c r="F322" s="191" t="e">
        <f>#N/A</f>
        <v>#N/A</v>
      </c>
    </row>
    <row r="323" spans="1:6" ht="15.75" customHeight="1">
      <c r="A323" s="181">
        <v>8</v>
      </c>
      <c r="B323" s="181" t="s">
        <v>868</v>
      </c>
      <c r="C323" s="193">
        <f>+'Distribucion Programas I'!F323</f>
        <v>6163513.5239999993</v>
      </c>
      <c r="D323" s="193">
        <f>+'Distribucion Programas II '!Q324</f>
        <v>4109009.0159999998</v>
      </c>
      <c r="E323" s="193">
        <f>+E324+E330</f>
        <v>0</v>
      </c>
      <c r="F323" s="191" t="e">
        <f>#N/A</f>
        <v>#N/A</v>
      </c>
    </row>
    <row r="324" spans="1:6" ht="15.75" customHeight="1">
      <c r="A324" s="181" t="s">
        <v>288</v>
      </c>
      <c r="B324" s="181" t="s">
        <v>289</v>
      </c>
      <c r="C324" s="193">
        <f>+'Distribucion Programas I'!F324</f>
        <v>0</v>
      </c>
      <c r="D324" s="193">
        <f>+'Distribucion Programas II '!Q325</f>
        <v>0</v>
      </c>
      <c r="E324" s="193">
        <f>SUM(E325:E328)</f>
        <v>0</v>
      </c>
      <c r="F324" s="191" t="e">
        <f>#N/A</f>
        <v>#N/A</v>
      </c>
    </row>
    <row r="325" spans="1:6" ht="15.75" customHeight="1">
      <c r="A325" s="184" t="s">
        <v>869</v>
      </c>
      <c r="B325" s="184" t="s">
        <v>873</v>
      </c>
      <c r="C325" s="193">
        <f>+'Distribucion Programas I'!F325</f>
        <v>0</v>
      </c>
      <c r="D325" s="193">
        <f>+'Distribucion Programas II '!Q326</f>
        <v>0</v>
      </c>
      <c r="E325" s="193"/>
      <c r="F325" s="191" t="e">
        <f>#N/A</f>
        <v>#N/A</v>
      </c>
    </row>
    <row r="326" spans="1:6" ht="15.75" customHeight="1">
      <c r="A326" s="184" t="s">
        <v>870</v>
      </c>
      <c r="B326" s="184" t="s">
        <v>874</v>
      </c>
      <c r="C326" s="193">
        <f>+'Distribucion Programas I'!F326</f>
        <v>0</v>
      </c>
      <c r="D326" s="193">
        <f>+'Distribucion Programas II '!Q327</f>
        <v>0</v>
      </c>
      <c r="E326" s="193"/>
      <c r="F326" s="191" t="e">
        <f>#N/A</f>
        <v>#N/A</v>
      </c>
    </row>
    <row r="327" spans="1:6" ht="15.75" customHeight="1">
      <c r="A327" s="184" t="s">
        <v>871</v>
      </c>
      <c r="B327" s="184" t="s">
        <v>875</v>
      </c>
      <c r="C327" s="193">
        <f>+'Distribucion Programas I'!F327</f>
        <v>0</v>
      </c>
      <c r="D327" s="193">
        <f>+'Distribucion Programas II '!Q328</f>
        <v>0</v>
      </c>
      <c r="E327" s="193"/>
      <c r="F327" s="191" t="e">
        <f>#N/A</f>
        <v>#N/A</v>
      </c>
    </row>
    <row r="328" spans="1:6" ht="15.75" customHeight="1">
      <c r="A328" s="188" t="s">
        <v>872</v>
      </c>
      <c r="B328" s="188" t="s">
        <v>876</v>
      </c>
      <c r="C328" s="193">
        <f>+'Distribucion Programas I'!F328</f>
        <v>0</v>
      </c>
      <c r="D328" s="193">
        <f>+'Distribucion Programas II '!Q329</f>
        <v>0</v>
      </c>
      <c r="E328" s="285"/>
      <c r="F328" s="306" t="e">
        <f>#N/A</f>
        <v>#N/A</v>
      </c>
    </row>
    <row r="329" spans="1:6" ht="10.5" customHeight="1">
      <c r="A329" s="310"/>
      <c r="B329" s="308"/>
      <c r="C329" s="193">
        <f>+'Distribucion Programas I'!F329</f>
        <v>0</v>
      </c>
      <c r="D329" s="193">
        <f>+'Distribucion Programas II '!Q330</f>
        <v>0</v>
      </c>
      <c r="E329" s="309"/>
      <c r="F329" s="311"/>
    </row>
    <row r="330" spans="1:6" ht="15.75" customHeight="1">
      <c r="A330" s="189" t="s">
        <v>290</v>
      </c>
      <c r="B330" s="189" t="s">
        <v>291</v>
      </c>
      <c r="C330" s="193">
        <f>+'Distribucion Programas I'!F330</f>
        <v>6163513.5239999993</v>
      </c>
      <c r="D330" s="193">
        <f>+'Distribucion Programas II '!Q331</f>
        <v>4109009.0159999998</v>
      </c>
      <c r="E330" s="205">
        <f>SUM(E331:E338)</f>
        <v>0</v>
      </c>
      <c r="F330" s="201" t="e">
        <f>#N/A</f>
        <v>#N/A</v>
      </c>
    </row>
    <row r="331" spans="1:6" ht="15.75" customHeight="1">
      <c r="A331" s="184" t="s">
        <v>877</v>
      </c>
      <c r="B331" s="184" t="s">
        <v>885</v>
      </c>
      <c r="C331" s="193">
        <f>+'Distribucion Programas I'!F331</f>
        <v>0</v>
      </c>
      <c r="D331" s="193">
        <f>+'Distribucion Programas II '!Q332</f>
        <v>0</v>
      </c>
      <c r="E331" s="193"/>
      <c r="F331" s="191" t="e">
        <f>#N/A</f>
        <v>#N/A</v>
      </c>
    </row>
    <row r="332" spans="1:6" ht="15.75" customHeight="1">
      <c r="A332" s="184" t="s">
        <v>878</v>
      </c>
      <c r="B332" s="184" t="s">
        <v>886</v>
      </c>
      <c r="C332" s="193">
        <f>+'Distribucion Programas I'!F332</f>
        <v>0</v>
      </c>
      <c r="D332" s="193">
        <f>+'Distribucion Programas II '!Q333</f>
        <v>0</v>
      </c>
      <c r="E332" s="193"/>
      <c r="F332" s="191" t="e">
        <f>#N/A</f>
        <v>#N/A</v>
      </c>
    </row>
    <row r="333" spans="1:6" ht="15.75" customHeight="1">
      <c r="A333" s="184" t="s">
        <v>879</v>
      </c>
      <c r="B333" s="184" t="s">
        <v>887</v>
      </c>
      <c r="C333" s="193">
        <f>+'Distribucion Programas I'!F333</f>
        <v>0</v>
      </c>
      <c r="D333" s="193">
        <f>+'Distribucion Programas II '!Q334</f>
        <v>0</v>
      </c>
      <c r="E333" s="193"/>
      <c r="F333" s="191" t="e">
        <f>#N/A</f>
        <v>#N/A</v>
      </c>
    </row>
    <row r="334" spans="1:6" ht="15.75" customHeight="1">
      <c r="A334" s="184" t="s">
        <v>880</v>
      </c>
      <c r="B334" s="184" t="s">
        <v>888</v>
      </c>
      <c r="C334" s="193">
        <f>+'Distribucion Programas I'!F334</f>
        <v>0</v>
      </c>
      <c r="D334" s="193">
        <f>+'Distribucion Programas II '!Q335</f>
        <v>0</v>
      </c>
      <c r="E334" s="193"/>
      <c r="F334" s="191" t="e">
        <f>#N/A</f>
        <v>#N/A</v>
      </c>
    </row>
    <row r="335" spans="1:6" ht="15.75" customHeight="1">
      <c r="A335" s="184" t="s">
        <v>881</v>
      </c>
      <c r="B335" s="184" t="s">
        <v>892</v>
      </c>
      <c r="C335" s="193">
        <f>+'Distribucion Programas I'!F335</f>
        <v>0</v>
      </c>
      <c r="D335" s="193">
        <f>+'Distribucion Programas II '!Q336</f>
        <v>0</v>
      </c>
      <c r="E335" s="193"/>
      <c r="F335" s="191" t="e">
        <f>#N/A</f>
        <v>#N/A</v>
      </c>
    </row>
    <row r="336" spans="1:6" ht="15.75" customHeight="1">
      <c r="A336" s="184" t="s">
        <v>882</v>
      </c>
      <c r="B336" s="184" t="s">
        <v>889</v>
      </c>
      <c r="C336" s="193">
        <f>+'Distribucion Programas I'!F336</f>
        <v>6163513.5239999993</v>
      </c>
      <c r="D336" s="193">
        <f>+'Distribucion Programas II '!Q337</f>
        <v>4109009.0159999998</v>
      </c>
      <c r="E336" s="193"/>
      <c r="F336" s="191" t="e">
        <f>#N/A</f>
        <v>#N/A</v>
      </c>
    </row>
    <row r="337" spans="1:6" ht="15.75" customHeight="1">
      <c r="A337" s="184" t="s">
        <v>883</v>
      </c>
      <c r="B337" s="184" t="s">
        <v>890</v>
      </c>
      <c r="C337" s="193">
        <f>+'Distribucion Programas I'!F337</f>
        <v>0</v>
      </c>
      <c r="D337" s="193">
        <f>+'Distribucion Programas II '!Q338</f>
        <v>0</v>
      </c>
      <c r="E337" s="193"/>
      <c r="F337" s="191" t="e">
        <f>#N/A</f>
        <v>#N/A</v>
      </c>
    </row>
    <row r="338" spans="1:6" ht="15.75" customHeight="1">
      <c r="A338" s="184" t="s">
        <v>884</v>
      </c>
      <c r="B338" s="184" t="s">
        <v>891</v>
      </c>
      <c r="C338" s="193">
        <f>+'Distribucion Programas I'!F338</f>
        <v>0</v>
      </c>
      <c r="D338" s="193">
        <f>+'Distribucion Programas II '!Q339</f>
        <v>0</v>
      </c>
      <c r="E338" s="193"/>
      <c r="F338" s="191" t="e">
        <f>#N/A</f>
        <v>#N/A</v>
      </c>
    </row>
    <row r="339" spans="1:6" ht="10.5" customHeight="1">
      <c r="A339" s="310"/>
      <c r="B339" s="308"/>
      <c r="C339" s="193">
        <f>+'Distribucion Programas I'!F339</f>
        <v>0</v>
      </c>
      <c r="D339" s="193">
        <f>+'Distribucion Programas II '!Q340</f>
        <v>0</v>
      </c>
      <c r="E339" s="309"/>
      <c r="F339" s="311"/>
    </row>
    <row r="340" spans="1:6" ht="15.75" customHeight="1">
      <c r="A340" s="189">
        <v>9</v>
      </c>
      <c r="B340" s="189" t="s">
        <v>893</v>
      </c>
      <c r="C340" s="193">
        <f>+'Distribucion Programas I'!F340</f>
        <v>0</v>
      </c>
      <c r="D340" s="193">
        <f>+'Distribucion Programas II '!Q341</f>
        <v>0</v>
      </c>
      <c r="E340" s="205">
        <f>+E341+E345</f>
        <v>0</v>
      </c>
      <c r="F340" s="201" t="e">
        <f>#N/A</f>
        <v>#N/A</v>
      </c>
    </row>
    <row r="341" spans="1:6" ht="15.75" customHeight="1">
      <c r="A341" s="181" t="s">
        <v>292</v>
      </c>
      <c r="B341" s="181" t="s">
        <v>293</v>
      </c>
      <c r="C341" s="193">
        <f>+'Distribucion Programas I'!F341</f>
        <v>0</v>
      </c>
      <c r="D341" s="193">
        <f>+'Distribucion Programas II '!Q342</f>
        <v>0</v>
      </c>
      <c r="E341" s="193"/>
      <c r="F341" s="191" t="e">
        <f>#N/A</f>
        <v>#N/A</v>
      </c>
    </row>
    <row r="342" spans="1:6" ht="15.75" customHeight="1">
      <c r="A342" s="184" t="s">
        <v>894</v>
      </c>
      <c r="B342" s="184" t="s">
        <v>897</v>
      </c>
      <c r="C342" s="193">
        <f>+'Distribucion Programas I'!F342</f>
        <v>0</v>
      </c>
      <c r="D342" s="193">
        <f>+'Distribucion Programas II '!Q343</f>
        <v>0</v>
      </c>
      <c r="E342" s="193"/>
      <c r="F342" s="191" t="e">
        <f>#N/A</f>
        <v>#N/A</v>
      </c>
    </row>
    <row r="343" spans="1:6" ht="15.75" customHeight="1">
      <c r="A343" s="184"/>
      <c r="B343" s="184"/>
      <c r="C343" s="193">
        <f>+'Distribucion Programas I'!F343</f>
        <v>0</v>
      </c>
      <c r="D343" s="193">
        <f>+'Distribucion Programas II '!Q344</f>
        <v>0</v>
      </c>
      <c r="E343" s="193"/>
      <c r="F343" s="191"/>
    </row>
    <row r="344" spans="1:6" ht="10.5" customHeight="1">
      <c r="A344" s="183"/>
      <c r="B344" s="186"/>
      <c r="C344" s="193">
        <f>+'Distribucion Programas I'!F344</f>
        <v>0</v>
      </c>
      <c r="D344" s="193"/>
      <c r="E344" s="193"/>
      <c r="F344" s="191" t="e">
        <f>#N/A</f>
        <v>#N/A</v>
      </c>
    </row>
    <row r="345" spans="1:6" ht="15.75" customHeight="1">
      <c r="A345" s="181" t="s">
        <v>294</v>
      </c>
      <c r="B345" s="181" t="s">
        <v>295</v>
      </c>
      <c r="C345" s="193">
        <f>+'Distribucion Programas I'!F345</f>
        <v>0</v>
      </c>
      <c r="D345" s="193">
        <f>+D346</f>
        <v>0</v>
      </c>
      <c r="E345" s="193">
        <f>+E346+E347</f>
        <v>0</v>
      </c>
      <c r="F345" s="191" t="e">
        <f>#N/A</f>
        <v>#N/A</v>
      </c>
    </row>
    <row r="346" spans="1:6" ht="15.75" customHeight="1">
      <c r="A346" s="184" t="s">
        <v>900</v>
      </c>
      <c r="B346" s="184" t="s">
        <v>898</v>
      </c>
      <c r="C346" s="193">
        <f>+'Distribucion Programas I'!F346</f>
        <v>0</v>
      </c>
      <c r="D346" s="193">
        <f>+'Distribucion Programas II '!Q347</f>
        <v>0</v>
      </c>
      <c r="E346" s="193">
        <v>0</v>
      </c>
      <c r="F346" s="191" t="e">
        <f>#N/A</f>
        <v>#N/A</v>
      </c>
    </row>
    <row r="347" spans="1:6" ht="15.75" customHeight="1">
      <c r="A347" s="184" t="s">
        <v>901</v>
      </c>
      <c r="B347" s="184" t="s">
        <v>899</v>
      </c>
      <c r="C347" s="193">
        <f>+'Distribucion Programas I'!F347</f>
        <v>0</v>
      </c>
      <c r="D347" s="193">
        <f>+'Distribucion Programas II '!Q348</f>
        <v>0</v>
      </c>
      <c r="E347" s="193"/>
      <c r="F347" s="191" t="e">
        <f>#N/A</f>
        <v>#N/A</v>
      </c>
    </row>
    <row r="348" spans="1:6" ht="15.75" customHeight="1">
      <c r="A348" s="178"/>
      <c r="B348" s="8"/>
      <c r="C348" s="192"/>
      <c r="D348" s="192"/>
    </row>
    <row r="349" spans="1:6" ht="15.75" customHeight="1">
      <c r="A349" s="178"/>
      <c r="B349" s="8"/>
      <c r="C349" s="192"/>
      <c r="D349" s="192"/>
    </row>
  </sheetData>
  <mergeCells count="6">
    <mergeCell ref="A5:F5"/>
    <mergeCell ref="C6:E6"/>
    <mergeCell ref="A1:F1"/>
    <mergeCell ref="A2:F2"/>
    <mergeCell ref="A3:F3"/>
    <mergeCell ref="A4:F4"/>
  </mergeCells>
  <phoneticPr fontId="3" type="noConversion"/>
  <hyperlinks>
    <hyperlink ref="A10" location="_0.01_Remuneraciones_básicas" display="_0.01_Remuneraciones_básicas" xr:uid="{00000000-0004-0000-0800-000000000000}"/>
    <hyperlink ref="B10" location="_0.01_Remuneraciones_básicas" display="_0.01_Remuneraciones_básicas" xr:uid="{00000000-0004-0000-0800-000001000000}"/>
    <hyperlink ref="A11" location="_0.01.01_Sueldos_para_cargos fijos" display="_0.01.01_Sueldos_para_cargos fijos" xr:uid="{00000000-0004-0000-0800-000002000000}"/>
    <hyperlink ref="A12" location="_0.01.02_Jornales" display="_0.01.02_Jornales" xr:uid="{00000000-0004-0000-0800-000003000000}"/>
    <hyperlink ref="A13" location="_0.01.03___Servicios especiales" display="_0.01.03___Servicios especiales" xr:uid="{00000000-0004-0000-0800-000004000000}"/>
    <hyperlink ref="A14" location="_0.01.04___  Sueldos a base de comis" display="_0.01.04___  Sueldos a base de comis" xr:uid="{00000000-0004-0000-0800-000005000000}"/>
    <hyperlink ref="A15" location="_0.01.05_Suplencias" display="_0.01.05_Suplencias" xr:uid="{00000000-0004-0000-0800-000006000000}"/>
    <hyperlink ref="A17" location="OLE_LINK3" display="OLE_LINK3" xr:uid="{00000000-0004-0000-0800-000007000000}"/>
    <hyperlink ref="B17" location="OLE_LINK3" display="OLE_LINK3" xr:uid="{00000000-0004-0000-0800-000008000000}"/>
    <hyperlink ref="A18" location="_0.02.01_Tiempo_extraordinario" display="_0.02.01_Tiempo_extraordinario" xr:uid="{00000000-0004-0000-0800-000009000000}"/>
    <hyperlink ref="A19" location="_0.02.02_Recargo_de_funciones" display="_0.02.02_Recargo_de_funciones" xr:uid="{00000000-0004-0000-0800-00000A000000}"/>
    <hyperlink ref="A20" location="_0.02.03___  Disponibilidad laboral" display="_0.02.03___  Disponibilidad laboral" xr:uid="{00000000-0004-0000-0800-00000B000000}"/>
    <hyperlink ref="A21" location="_Hlt506206007" display="_Hlt506206007" xr:uid="{00000000-0004-0000-0800-00000C000000}"/>
    <hyperlink ref="A22" location="_0.01.05__" display="_0.01.05__" xr:uid="{00000000-0004-0000-0800-00000D000000}"/>
    <hyperlink ref="A24" location="OLE_LINK4" display="OLE_LINK4" xr:uid="{00000000-0004-0000-0800-00000E000000}"/>
    <hyperlink ref="B24" location="OLE_LINK4" display="OLE_LINK4" xr:uid="{00000000-0004-0000-0800-00000F000000}"/>
    <hyperlink ref="A25" location="_Hlt506206189" display="_Hlt506206189" xr:uid="{00000000-0004-0000-0800-000010000000}"/>
    <hyperlink ref="A26" location="_0.03.02_Restricción_al_ejercicio  l" display="_0.03.02_Restricción_al_ejercicio  l" xr:uid="{00000000-0004-0000-0800-000011000000}"/>
    <hyperlink ref="A27" location="_0.03.03___ Decimotercer mes" display="_0.03.03___ Decimotercer mes" xr:uid="{00000000-0004-0000-0800-000012000000}"/>
    <hyperlink ref="A28" location="_0.03.04___ Salario escolar" display="_0.03.04___ Salario escolar" xr:uid="{00000000-0004-0000-0800-000013000000}"/>
    <hyperlink ref="A29" location="_0.03.99__" display="_0.03.99__" xr:uid="{00000000-0004-0000-0800-000014000000}"/>
    <hyperlink ref="A32" location="OLE_LINK5" display="OLE_LINK5" xr:uid="{00000000-0004-0000-0800-000015000000}"/>
    <hyperlink ref="A33" location="_Contribución_Patronal_al" display="_Contribución_Patronal_al" xr:uid="{00000000-0004-0000-0800-000016000000}"/>
    <hyperlink ref="A34" location="_0.04.02__" display="_0.04.02__" xr:uid="{00000000-0004-0000-0800-000017000000}"/>
    <hyperlink ref="A35" location="_0.04.03___     Contribución Patrona" display="_0.04.03___     Contribución Patrona" xr:uid="{00000000-0004-0000-0800-000018000000}"/>
    <hyperlink ref="A37" location="_0.04.05___ Contribución Patronal al" display="_0.04.05___ Contribución Patronal al" xr:uid="{00000000-0004-0000-0800-000019000000}"/>
    <hyperlink ref="A39" location="_0.04.05___ Contribución Patronal al" display="_0.04.05___ Contribución Patronal al" xr:uid="{00000000-0004-0000-0800-00001A000000}"/>
    <hyperlink ref="A41" location="_0.05.01___Contribución Patronal al " display="_0.05.01___Contribución Patronal al " xr:uid="{00000000-0004-0000-0800-00001B000000}"/>
    <hyperlink ref="A42" location="_0.05.02__" display="_0.05.02__" xr:uid="{00000000-0004-0000-0800-00001C000000}"/>
    <hyperlink ref="A43" location="_0.05.03___ Aporte Patronal al Fondo" display="_0.05.03___ Aporte Patronal al Fondo" xr:uid="{00000000-0004-0000-0800-00001D000000}"/>
    <hyperlink ref="A45" location="_0.05.05___Contribución  patronal a " display="_0.05.05___Contribución  patronal a " xr:uid="{00000000-0004-0000-0800-00001E000000}"/>
    <hyperlink ref="A47" location="OLE_LINK8" display="OLE_LINK8" xr:uid="{00000000-0004-0000-0800-00001F000000}"/>
    <hyperlink ref="A48" location="_0.99.01___Gastos de representación " display="_0.99.01___Gastos de representación " xr:uid="{00000000-0004-0000-0800-000020000000}"/>
    <hyperlink ref="A51" location="_1___4" display="_1___4" xr:uid="{00000000-0004-0000-0800-000021000000}"/>
    <hyperlink ref="A52" location="_1.01__" display="_1.01__" xr:uid="{00000000-0004-0000-0800-000022000000}"/>
    <hyperlink ref="B52" location="_1.01__" display="_1.01__" xr:uid="{00000000-0004-0000-0800-000023000000}"/>
    <hyperlink ref="A53" location="_1.01.01___Alquiler de edificios, lo" display="_1.01.01___Alquiler de edificios, lo" xr:uid="{00000000-0004-0000-0800-000024000000}"/>
    <hyperlink ref="A54" location="_Hlt506254949" display="_Hlt506254949" xr:uid="{00000000-0004-0000-0800-000025000000}"/>
    <hyperlink ref="A55" location="_1.01.03___ Alquiler de equipo de có" display="_1.01.03___ Alquiler de equipo de có" xr:uid="{00000000-0004-0000-0800-000026000000}"/>
    <hyperlink ref="A56" location="_1.01.04___Alquiler y derechos para " display="_1.01.04___Alquiler y derechos para " xr:uid="{00000000-0004-0000-0800-000027000000}"/>
    <hyperlink ref="A57" location="_1.01.99___Otros alquileres" display="_1.01.99___Otros alquileres" xr:uid="{00000000-0004-0000-0800-000028000000}"/>
    <hyperlink ref="A59" location="_1.02__" display="_1.02__" xr:uid="{00000000-0004-0000-0800-000029000000}"/>
    <hyperlink ref="B59" location="_1.02__" display="_1.02__" xr:uid="{00000000-0004-0000-0800-00002A000000}"/>
    <hyperlink ref="A60" location="_1.02.01___Servicio de agua y alcant" display="_1.02.01___Servicio de agua y alcant" xr:uid="{00000000-0004-0000-0800-00002B000000}"/>
    <hyperlink ref="A61" location="_1.02.02__" display="_1.02.02__" xr:uid="{00000000-0004-0000-0800-00002C000000}"/>
    <hyperlink ref="A62" location="_1.02.03___ Servicio de correo" display="_1.02.03___ Servicio de correo" xr:uid="{00000000-0004-0000-0800-00002D000000}"/>
    <hyperlink ref="A63" location="_1.02.04___ Servicio de telecomunica" display="_1.02.04___ Servicio de telecomunica" xr:uid="{00000000-0004-0000-0800-00002E000000}"/>
    <hyperlink ref="A64" location="_1.02.99___Otros servicios básicos" display="_1.02.99___Otros servicios básicos" xr:uid="{00000000-0004-0000-0800-00002F000000}"/>
    <hyperlink ref="A66" location="_1.03__" display="_1.03__" xr:uid="{00000000-0004-0000-0800-000030000000}"/>
    <hyperlink ref="B66" location="_1.03__" display="_1.03__" xr:uid="{00000000-0004-0000-0800-000031000000}"/>
    <hyperlink ref="A67" location="_Hlt506255274" display="_Hlt506255274" xr:uid="{00000000-0004-0000-0800-000032000000}"/>
    <hyperlink ref="A68" location="_1.03.02__" display="_1.03.02__" xr:uid="{00000000-0004-0000-0800-000033000000}"/>
    <hyperlink ref="A69" location="_1.03.03___Impresión, encuadernación" display="_1.03.03___Impresión, encuadernación" xr:uid="{00000000-0004-0000-0800-000034000000}"/>
    <hyperlink ref="A70" location="_1.03.04___   Transporte de bienes" display="_1.03.04___   Transporte de bienes" xr:uid="{00000000-0004-0000-0800-000035000000}"/>
    <hyperlink ref="A71" location="_1.03.05__" display="_1.03.05__" xr:uid="{00000000-0004-0000-0800-000036000000}"/>
    <hyperlink ref="A72" location="_1.03.06___Comisiones y gastos por s" display="_1.03.06___Comisiones y gastos por s" xr:uid="{00000000-0004-0000-0800-000037000000}"/>
    <hyperlink ref="A73" location="_1.03.07___Servicios de transferenci" display="_1.03.07___Servicios de transferenci" xr:uid="{00000000-0004-0000-0800-000038000000}"/>
    <hyperlink ref="A75" location="_1.04__" display="_1.04__" xr:uid="{00000000-0004-0000-0800-000039000000}"/>
    <hyperlink ref="B75" location="_1.04__" display="_1.04__" xr:uid="{00000000-0004-0000-0800-00003A000000}"/>
    <hyperlink ref="A76" location="_1.04.01___Servicios médicos y de la" display="_1.04.01___Servicios médicos y de la" xr:uid="{00000000-0004-0000-0800-00003B000000}"/>
    <hyperlink ref="A77" location="_1.04.02___Servicios jurídicos" display="_1.04.02___Servicios jurídicos" xr:uid="{00000000-0004-0000-0800-00003C000000}"/>
    <hyperlink ref="A78" location="_1.04.03___Servicios de ingeniería" display="_1.04.03___Servicios de ingeniería" xr:uid="{00000000-0004-0000-0800-00003D000000}"/>
    <hyperlink ref="A79" location="_1.04.04___Servicios en ciencias eco" display="_1.04.04___Servicios en ciencias eco" xr:uid="{00000000-0004-0000-0800-00003E000000}"/>
    <hyperlink ref="A80" location="_1.04.05___Servicios de desarrollo d" display="_1.04.05___Servicios de desarrollo d" xr:uid="{00000000-0004-0000-0800-00003F000000}"/>
    <hyperlink ref="A81" location="_1.04.06___Servicios generales" display="_1.04.06___Servicios generales" xr:uid="{00000000-0004-0000-0800-000040000000}"/>
    <hyperlink ref="A82" location="_1.04.99___Otros servicios de gestió" display="_1.04.99___Otros servicios de gestió" xr:uid="{00000000-0004-0000-0800-000041000000}"/>
    <hyperlink ref="A84" location="_1.05__" display="_1.05__" xr:uid="{00000000-0004-0000-0800-000042000000}"/>
    <hyperlink ref="B84" location="_1.05__" display="_1.05__" xr:uid="{00000000-0004-0000-0800-000043000000}"/>
    <hyperlink ref="A85" location="_1.05.01___Transporte dentro del paí" display="_1.05.01___Transporte dentro del paí" xr:uid="{00000000-0004-0000-0800-000044000000}"/>
    <hyperlink ref="A86" location="_1.05.02___  Viáticos dentro del paí" display="_1.05.02___  Viáticos dentro del paí" xr:uid="{00000000-0004-0000-0800-000045000000}"/>
    <hyperlink ref="A87" location="_1.05.03__" display="_1.05.03__" xr:uid="{00000000-0004-0000-0800-000046000000}"/>
    <hyperlink ref="A88" location="_1.05.04___Viáticos en el exterior" display="_1.05.04___Viáticos en el exterior" xr:uid="{00000000-0004-0000-0800-000047000000}"/>
    <hyperlink ref="A90" location="_1.06__" display="_1.06__" xr:uid="{00000000-0004-0000-0800-000048000000}"/>
    <hyperlink ref="B90" location="_1.06__" display="_1.06__" xr:uid="{00000000-0004-0000-0800-000049000000}"/>
    <hyperlink ref="A91" location="_1.06.01__Seguros" display="_1.06.01__Seguros" xr:uid="{00000000-0004-0000-0800-00004A000000}"/>
    <hyperlink ref="A92" location="_1.06.02___Reaseguros" display="_1.06.02___Reaseguros" xr:uid="{00000000-0004-0000-0800-00004B000000}"/>
    <hyperlink ref="A93" location="_1.06.03___Obligaciones por contrato" display="_1.06.03___Obligaciones por contrato" xr:uid="{00000000-0004-0000-0800-00004C000000}"/>
    <hyperlink ref="A95" location="_1.07__" display="_1.07__" xr:uid="{00000000-0004-0000-0800-00004D000000}"/>
    <hyperlink ref="B95" location="_1.07__" display="_1.07__" xr:uid="{00000000-0004-0000-0800-00004E000000}"/>
    <hyperlink ref="A96" location="_Hlt506361970" display="_Hlt506361970" xr:uid="{00000000-0004-0000-0800-00004F000000}"/>
    <hyperlink ref="A97" location="_1.07.02___Actividades protocolarias" display="_1.07.02___Actividades protocolarias" xr:uid="{00000000-0004-0000-0800-000050000000}"/>
    <hyperlink ref="A98" location="_1.07.03___Gastos de representación " display="_1.07.03___Gastos de representación " xr:uid="{00000000-0004-0000-0800-000051000000}"/>
    <hyperlink ref="A100" location="_1.08__" display="_1.08__" xr:uid="{00000000-0004-0000-0800-000052000000}"/>
    <hyperlink ref="B100" location="_1.08__" display="_1.08__" xr:uid="{00000000-0004-0000-0800-000053000000}"/>
    <hyperlink ref="A101" location="_1.08.01___Mantenimiento de edificio" display="_1.08.01___Mantenimiento de edificio" xr:uid="{00000000-0004-0000-0800-000054000000}"/>
    <hyperlink ref="A102" location="_1.08.02___Mantenimiento de vías de " display="_1.08.02___Mantenimiento de vías de " xr:uid="{00000000-0004-0000-0800-000055000000}"/>
    <hyperlink ref="A103" location="_1.08.03___Mantenimiento de instalac" display="_1.08.03___Mantenimiento de instalac" xr:uid="{00000000-0004-0000-0800-000056000000}"/>
    <hyperlink ref="A104" location="_1.08.04___Mantenimiento y reparació" display="_1.08.04___Mantenimiento y reparació" xr:uid="{00000000-0004-0000-0800-000057000000}"/>
    <hyperlink ref="A105" location="_1.08.05___Mantenimiento y reparació" display="_1.08.05___Mantenimiento y reparació" xr:uid="{00000000-0004-0000-0800-000058000000}"/>
    <hyperlink ref="A106" location="_1.08.06___  Mantenimiento y reparac" display="_1.08.06___  Mantenimiento y reparac" xr:uid="{00000000-0004-0000-0800-000059000000}"/>
    <hyperlink ref="A107" location="_1.08.07___Mantenimiento y reparació" display="_1.08.07___Mantenimiento y reparació" xr:uid="{00000000-0004-0000-0800-00005A000000}"/>
    <hyperlink ref="A108" location="_1.08.08___Mantenimiento y reparació" display="_1.08.08___Mantenimiento y reparació" xr:uid="{00000000-0004-0000-0800-00005B000000}"/>
    <hyperlink ref="A109" location="_1.08.99___Mantenimiento y reparació" display="_1.08.99___Mantenimiento y reparació" xr:uid="{00000000-0004-0000-0800-00005C000000}"/>
    <hyperlink ref="A111" location="_1.09___Impuestos" display="_1.09___Impuestos" xr:uid="{00000000-0004-0000-0800-00005D000000}"/>
    <hyperlink ref="B111" location="_1.09___Impuestos" display="_1.09___Impuestos" xr:uid="{00000000-0004-0000-0800-00005E000000}"/>
    <hyperlink ref="A112" location="_1.09.01___Impuestos sobre ingresos " display="_1.09.01___Impuestos sobre ingresos " xr:uid="{00000000-0004-0000-0800-00005F000000}"/>
    <hyperlink ref="A113" location="_1.09.02___Impuestos sobre bienes in_1" display="_1.09.02___Impuestos sobre bienes in_1" xr:uid="{00000000-0004-0000-0800-000060000000}"/>
    <hyperlink ref="A114" location="_1.09.03___Impuestos de patentes" display="_1.09.03___Impuestos de patentes" xr:uid="{00000000-0004-0000-0800-000061000000}"/>
    <hyperlink ref="A115" location="_1.09.99__" display="_1.09.99__" xr:uid="{00000000-0004-0000-0800-000062000000}"/>
    <hyperlink ref="A117" location="_1.99__" display="_1.99__" xr:uid="{00000000-0004-0000-0800-000063000000}"/>
    <hyperlink ref="B117" location="_1.99__" display="_1.99__" xr:uid="{00000000-0004-0000-0800-000064000000}"/>
    <hyperlink ref="A118" location="_1.99.01___  Servicios de regulación" display="_1.99.01___  Servicios de regulación" xr:uid="{00000000-0004-0000-0800-000065000000}"/>
    <hyperlink ref="A119" location="_1.99.02___  Intereses moratorios y " display="_1.99.02___  Intereses moratorios y " xr:uid="{00000000-0004-0000-0800-000066000000}"/>
    <hyperlink ref="A120" location="_1.99.03___  Gastos de oficinas en e" display="_1.99.03___  Gastos de oficinas en e" xr:uid="{00000000-0004-0000-0800-000067000000}"/>
    <hyperlink ref="A121" location="_1.99.04__" display="_1.99.04__" xr:uid="{00000000-0004-0000-0800-000068000000}"/>
    <hyperlink ref="A122" location="_1.99.05___  Deducibles" display="_1.99.05___  Deducibles" xr:uid="{00000000-0004-0000-0800-000069000000}"/>
    <hyperlink ref="A123" location="_Hlt506356377" display="_Hlt506356377" xr:uid="{00000000-0004-0000-0800-00006A000000}"/>
    <hyperlink ref="A125" location="_2___4" display="_2___4" xr:uid="{00000000-0004-0000-0800-00006B000000}"/>
    <hyperlink ref="A126" location="_2.01_Productos_químicos" display="_2.01_Productos_químicos" xr:uid="{00000000-0004-0000-0800-00006C000000}"/>
    <hyperlink ref="B126" location="_2.01_Productos_químicos" display="_2.01_Productos_químicos" xr:uid="{00000000-0004-0000-0800-00006D000000}"/>
    <hyperlink ref="A127" location="_2.01.01___   Combustibles y lubrica_1" display="_2.01.01___   Combustibles y lubrica_1" xr:uid="{00000000-0004-0000-0800-00006E000000}"/>
    <hyperlink ref="A128" location="_2.01.02___  Productos farmacéuticos" display="_2.01.02___  Productos farmacéuticos" xr:uid="{00000000-0004-0000-0800-00006F000000}"/>
    <hyperlink ref="A129" location="_2.01.03___  Productos veterinarios" display="_2.01.03___  Productos veterinarios" xr:uid="{00000000-0004-0000-0800-000070000000}"/>
    <hyperlink ref="A130" location="_2.01.04___ Tintas, pinturas y diluy" display="_2.01.04___ Tintas, pinturas y diluy" xr:uid="{00000000-0004-0000-0800-000071000000}"/>
    <hyperlink ref="A131" location="_2.01.99___  Otros productos químico" display="_2.01.99___  Otros productos químico" xr:uid="{00000000-0004-0000-0800-000072000000}"/>
    <hyperlink ref="A133" location="_2.02___1" display="_2.02___1" xr:uid="{00000000-0004-0000-0800-000073000000}"/>
    <hyperlink ref="B133" location="_2.02___1" display="_2.02___1" xr:uid="{00000000-0004-0000-0800-000074000000}"/>
    <hyperlink ref="A134" location="_2.02.01__" display="_2.02.01__" xr:uid="{00000000-0004-0000-0800-000075000000}"/>
    <hyperlink ref="A135" location="_2.02.02___Productos agroforestales" display="_2.02.02___Productos agroforestales" xr:uid="{00000000-0004-0000-0800-000076000000}"/>
    <hyperlink ref="A136" location="_2.02.03___Alimentos y bebidas" display="_2.02.03___Alimentos y bebidas" xr:uid="{00000000-0004-0000-0800-000077000000}"/>
    <hyperlink ref="A137" location="_2.02.04___1" display="_2.02.04___1" xr:uid="{00000000-0004-0000-0800-000078000000}"/>
    <hyperlink ref="A140" location="_2.03__" display="_2.03__" xr:uid="{00000000-0004-0000-0800-000079000000}"/>
    <hyperlink ref="A141" location="_2.03.01___   Materiales y productos_1" display="_2.03.01___   Materiales y productos_1" xr:uid="{00000000-0004-0000-0800-00007A000000}"/>
    <hyperlink ref="A142" location="_2.03.02___   Materiales y productos_1" display="_2.03.02___   Materiales y productos_1" xr:uid="{00000000-0004-0000-0800-00007B000000}"/>
    <hyperlink ref="A143" location="_2.03.03___    Madera y sus derivado_1" display="_2.03.03___    Madera y sus derivado_1" xr:uid="{00000000-0004-0000-0800-00007C000000}"/>
    <hyperlink ref="A144" location="_2.03.04___  Materiales y productos _1" display="_2.03.04___  Materiales y productos _1" xr:uid="{00000000-0004-0000-0800-00007D000000}"/>
    <hyperlink ref="A145" location="_2.03.05___    Materiales y producto_1" display="_2.03.05___    Materiales y producto_1" xr:uid="{00000000-0004-0000-0800-00007E000000}"/>
    <hyperlink ref="A146" location="_Hlt506356393" display="_Hlt506356393" xr:uid="{00000000-0004-0000-0800-00007F000000}"/>
    <hyperlink ref="A147" location="_2.03.99___   Otros materiales y pro_1" display="_2.03.99___   Otros materiales y pro_1" xr:uid="{00000000-0004-0000-0800-000080000000}"/>
    <hyperlink ref="A149" location="_2.04__Herramientas," display="_2.04__Herramientas," xr:uid="{00000000-0004-0000-0800-000081000000}"/>
    <hyperlink ref="B149" location="_2.04__Herramientas," display="_2.04__Herramientas," xr:uid="{00000000-0004-0000-0800-000082000000}"/>
    <hyperlink ref="A150" location="_2.04.01___   Herramientas e instrum_1" display="_2.04.01___   Herramientas e instrum_1" xr:uid="{00000000-0004-0000-0800-000083000000}"/>
    <hyperlink ref="A151" location="_2.04.02__" display="_2.04.02__" xr:uid="{00000000-0004-0000-0800-000084000000}"/>
    <hyperlink ref="A153" location="_2.05__" display="_2.05__" xr:uid="{00000000-0004-0000-0800-000085000000}"/>
    <hyperlink ref="A154" location="_2.05.01___Materia prima_1" display="_2.05.01___Materia prima_1" xr:uid="{00000000-0004-0000-0800-000086000000}"/>
    <hyperlink ref="A155" location="_2.05.02___Productos terminados_1" display="_2.05.02___Productos terminados_1" xr:uid="{00000000-0004-0000-0800-000087000000}"/>
    <hyperlink ref="A156" location="_2.05.03___Energía eléctrica_1" display="_2.05.03___Energía eléctrica_1" xr:uid="{00000000-0004-0000-0800-000088000000}"/>
    <hyperlink ref="A157" location="_Hlt506373174" display="_Hlt506373174" xr:uid="{00000000-0004-0000-0800-000089000000}"/>
    <hyperlink ref="A159" location="_2.99___1" display="_2.99___1" xr:uid="{00000000-0004-0000-0800-00008A000000}"/>
    <hyperlink ref="B159" location="_2.99___1" display="_2.99___1" xr:uid="{00000000-0004-0000-0800-00008B000000}"/>
    <hyperlink ref="A160" location="_2.99.01__" display="_2.99.01__" xr:uid="{00000000-0004-0000-0800-00008C000000}"/>
    <hyperlink ref="A161" location="_2.99.02___ Útiles y materiales médi" display="_2.99.02___ Útiles y materiales médi" xr:uid="{00000000-0004-0000-0800-00008D000000}"/>
    <hyperlink ref="A162" location="_2.99.03__" display="_2.99.03__" xr:uid="{00000000-0004-0000-0800-00008E000000}"/>
    <hyperlink ref="A163" location="_2.99.04__" display="_2.99.04__" xr:uid="{00000000-0004-0000-0800-00008F000000}"/>
    <hyperlink ref="A164" location="_2.99.05___ Útiles y materiales de l" display="_2.99.05___ Útiles y materiales de l" xr:uid="{00000000-0004-0000-0800-000090000000}"/>
    <hyperlink ref="A165" location="_2.99.06__" display="_2.99.06__" xr:uid="{00000000-0004-0000-0800-000091000000}"/>
    <hyperlink ref="A166" location="_2.99.07__" display="_2.99.07__" xr:uid="{00000000-0004-0000-0800-000092000000}"/>
    <hyperlink ref="A167" location="_2.99.99__" display="_2.99.99__" xr:uid="{00000000-0004-0000-0800-000093000000}"/>
    <hyperlink ref="A169" location="_3___1" display="_3___1" xr:uid="{00000000-0004-0000-0800-000094000000}"/>
    <hyperlink ref="A170" location="_3.01_Intereses_sobre" display="_3.01_Intereses_sobre" xr:uid="{00000000-0004-0000-0800-000095000000}"/>
    <hyperlink ref="B170" location="_3.01_Intereses_sobre" display="_3.01_Intereses_sobre" xr:uid="{00000000-0004-0000-0800-000096000000}"/>
    <hyperlink ref="A171" location="_3.01.01__" display="_3.01.01__" xr:uid="{00000000-0004-0000-0800-000097000000}"/>
    <hyperlink ref="A172" location="_3.01.02___1" display="_3.01.02___1" xr:uid="{00000000-0004-0000-0800-000098000000}"/>
    <hyperlink ref="A173" location="_3.01.03__Intereses" display="_3.01.03__Intereses" xr:uid="{00000000-0004-0000-0800-000099000000}"/>
    <hyperlink ref="A174" location="_3.01.04__Intereses" display="_3.01.04__Intereses" xr:uid="{00000000-0004-0000-0800-00009A000000}"/>
    <hyperlink ref="A176" location="_3.02_Intereses_sobre" display="_3.02_Intereses_sobre" xr:uid="{00000000-0004-0000-0800-00009B000000}"/>
    <hyperlink ref="B176" location="_3.02_Intereses_sobre" display="_3.02_Intereses_sobre" xr:uid="{00000000-0004-0000-0800-00009C000000}"/>
    <hyperlink ref="A177" location="_3.02.01__" display="_3.02.01__" xr:uid="{00000000-0004-0000-0800-00009D000000}"/>
    <hyperlink ref="A178" location="_3.02.02__" display="_3.02.02__" xr:uid="{00000000-0004-0000-0800-00009E000000}"/>
    <hyperlink ref="A179" location="_3.02.03___1" display="_3.02.03___1" xr:uid="{00000000-0004-0000-0800-00009F000000}"/>
    <hyperlink ref="A180" location="_3.02.04___Intereses sobre préstamos" display="_3.02.04___Intereses sobre préstamos" xr:uid="{00000000-0004-0000-0800-0000A0000000}"/>
    <hyperlink ref="A181" location="_3.02.05__" display="_3.02.05__" xr:uid="{00000000-0004-0000-0800-0000A1000000}"/>
    <hyperlink ref="A182" location="_3.02.06__" display="_3.02.06__" xr:uid="{00000000-0004-0000-0800-0000A2000000}"/>
    <hyperlink ref="A183" location="_3.02.07__" display="_3.02.07__" xr:uid="{00000000-0004-0000-0800-0000A3000000}"/>
    <hyperlink ref="A184" location="_3.02.08__" display="_3.02.08__" xr:uid="{00000000-0004-0000-0800-0000A4000000}"/>
    <hyperlink ref="A185" location="_3.02.08__" display="_3.02.08__" xr:uid="{00000000-0004-0000-0800-0000A5000000}"/>
    <hyperlink ref="B186" location="_3.03__" display="_3.03__" xr:uid="{00000000-0004-0000-0800-0000A6000000}"/>
    <hyperlink ref="A187" location="_3.03.01__" display="_3.03.01__" xr:uid="{00000000-0004-0000-0800-0000A7000000}"/>
    <hyperlink ref="A188" location="_3.03.99___Intereses sobre otras obl" display="_3.03.99___Intereses sobre otras obl" xr:uid="{00000000-0004-0000-0800-0000A8000000}"/>
    <hyperlink ref="A190" location="_3.04_Comisiones_y" display="_3.04_Comisiones_y" xr:uid="{00000000-0004-0000-0800-0000A9000000}"/>
    <hyperlink ref="B190" location="_3.04_Comisiones_y" display="_3.04_Comisiones_y" xr:uid="{00000000-0004-0000-0800-0000AA000000}"/>
    <hyperlink ref="A191" location="_3.99.01__Comisiones" display="_3.99.01__Comisiones" xr:uid="{00000000-0004-0000-0800-0000AB000000}"/>
    <hyperlink ref="A192" location="_3.99.02__Comisiones" display="_3.99.02__Comisiones" xr:uid="{00000000-0004-0000-0800-0000AC000000}"/>
    <hyperlink ref="A193" location="_3.99.03__" display="_3.99.03__" xr:uid="{00000000-0004-0000-0800-0000AD000000}"/>
    <hyperlink ref="A194" location="_3.99.04__" display="_3.99.04__" xr:uid="{00000000-0004-0000-0800-0000AE000000}"/>
    <hyperlink ref="A195" location="_3.99.05__" display="_3.99.05__" xr:uid="{00000000-0004-0000-0800-0000AF000000}"/>
    <hyperlink ref="A197" location="_4__" display="_4__" xr:uid="{00000000-0004-0000-0800-0000B0000000}"/>
    <hyperlink ref="A198" location="_4.01_Préstamos_1" display="_4.01_Préstamos_1" xr:uid="{00000000-0004-0000-0800-0000B1000000}"/>
    <hyperlink ref="B198" location="_4.01_Préstamos_1" display="_4.01_Préstamos_1" xr:uid="{00000000-0004-0000-0800-0000B2000000}"/>
    <hyperlink ref="A199" location="_4.01.01__" display="_4.01.01__" xr:uid="{00000000-0004-0000-0800-0000B3000000}"/>
    <hyperlink ref="A200" location="_4.01.02__" display="_4.01.02__" xr:uid="{00000000-0004-0000-0800-0000B4000000}"/>
    <hyperlink ref="A201" location="_4.01.03__" display="_4.01.03__" xr:uid="{00000000-0004-0000-0800-0000B5000000}"/>
    <hyperlink ref="A202" location="_4.01.04__" display="_4.01.04__" xr:uid="{00000000-0004-0000-0800-0000B6000000}"/>
    <hyperlink ref="A203" location="_4.01.05__" display="_4.01.05__" xr:uid="{00000000-0004-0000-0800-0000B7000000}"/>
    <hyperlink ref="A204" location="_4.01.06__" display="_4.01.06__" xr:uid="{00000000-0004-0000-0800-0000B8000000}"/>
    <hyperlink ref="A205" location="_4.01.07__" display="_4.01.07__" xr:uid="{00000000-0004-0000-0800-0000B9000000}"/>
    <hyperlink ref="A206" location="_4.01.08__" display="_4.01.08__" xr:uid="{00000000-0004-0000-0800-0000BA000000}"/>
    <hyperlink ref="A208" location="_4.02_Adquisición_" display="_4.02_Adquisición_" xr:uid="{00000000-0004-0000-0800-0000BB000000}"/>
    <hyperlink ref="B208" location="_4.02_Adquisición_" display="_4.02_Adquisición_" xr:uid="{00000000-0004-0000-0800-0000BC000000}"/>
    <hyperlink ref="A209" location="_4.02.01__" display="_4.02.01__" xr:uid="{00000000-0004-0000-0800-0000BD000000}"/>
    <hyperlink ref="A210" location="_4.02.02__" display="_4.02.02__" xr:uid="{00000000-0004-0000-0800-0000BE000000}"/>
    <hyperlink ref="A211" location="_4.02.03__" display="_4.02.03__" xr:uid="{00000000-0004-0000-0800-0000BF000000}"/>
    <hyperlink ref="A212" location="_4.02.04__" display="_4.02.04__" xr:uid="{00000000-0004-0000-0800-0000C0000000}"/>
    <hyperlink ref="A213" location="_4.02.05___1" display="_4.02.05___1" xr:uid="{00000000-0004-0000-0800-0000C1000000}"/>
    <hyperlink ref="A214" location="_4.02.06__" display="_4.02.06__" xr:uid="{00000000-0004-0000-0800-0000C2000000}"/>
    <hyperlink ref="A215" location="_4.02.07__" display="_4.02.07__" xr:uid="{00000000-0004-0000-0800-0000C3000000}"/>
    <hyperlink ref="A216" location="_4.02.08__" display="_4.02.08__" xr:uid="{00000000-0004-0000-0800-0000C4000000}"/>
    <hyperlink ref="A218" location="_4.99.99__" display="_4.99.99__" xr:uid="{00000000-0004-0000-0800-0000C5000000}"/>
    <hyperlink ref="B218" location="_4.99.99__" display="_4.99.99__" xr:uid="{00000000-0004-0000-0800-0000C6000000}"/>
    <hyperlink ref="A219" location="_4.99.01__" display="_4.99.01__" xr:uid="{00000000-0004-0000-0800-0000C7000000}"/>
    <hyperlink ref="A220" location="_4.99.99__" display="_4.99.99__" xr:uid="{00000000-0004-0000-0800-0000C8000000}"/>
    <hyperlink ref="A222" location="_5___1" display="_5___1" xr:uid="{00000000-0004-0000-0800-0000C9000000}"/>
    <hyperlink ref="A223" location="_5.01___1" display="_5.01___1" xr:uid="{00000000-0004-0000-0800-0000CA000000}"/>
    <hyperlink ref="B223" location="_5.01___1" display="_5.01___1" xr:uid="{00000000-0004-0000-0800-0000CB000000}"/>
    <hyperlink ref="A224" location="_5.01.01__" display="_5.01.01__" xr:uid="{00000000-0004-0000-0800-0000CC000000}"/>
    <hyperlink ref="A225" location="_5.01.02___Equipo de transporte" display="_5.01.02___Equipo de transporte" xr:uid="{00000000-0004-0000-0800-0000CD000000}"/>
    <hyperlink ref="A226" location="_5.01.03__" display="_5.01.03__" xr:uid="{00000000-0004-0000-0800-0000CE000000}"/>
    <hyperlink ref="A227" location="_5.01.04___1" display="_5.01.04___1" xr:uid="{00000000-0004-0000-0800-0000CF000000}"/>
    <hyperlink ref="A228" location="_5.01.05__" display="_5.01.05__" xr:uid="{00000000-0004-0000-0800-0000D0000000}"/>
    <hyperlink ref="A229" location="_5.01.06__" display="_5.01.06__" xr:uid="{00000000-0004-0000-0800-0000D1000000}"/>
    <hyperlink ref="A230" location="_5.01.07___1" display="_5.01.07___1" xr:uid="{00000000-0004-0000-0800-0000D2000000}"/>
    <hyperlink ref="A231" location="_5.01.99__" display="_5.01.99__" xr:uid="{00000000-0004-0000-0800-0000D3000000}"/>
    <hyperlink ref="A233" location="_5.02_Construcciones,_adiciones" display="_5.02_Construcciones,_adiciones" xr:uid="{00000000-0004-0000-0800-0000D4000000}"/>
    <hyperlink ref="B233" location="_5.02_Construcciones,_adiciones" display="_5.02_Construcciones,_adiciones" xr:uid="{00000000-0004-0000-0800-0000D5000000}"/>
    <hyperlink ref="A234" location="_5.02.01___Edificios" display="_5.02.01___Edificios" xr:uid="{00000000-0004-0000-0800-0000D6000000}"/>
    <hyperlink ref="A235" location="_5.02.02__" display="_5.02.02__" xr:uid="{00000000-0004-0000-0800-0000D7000000}"/>
    <hyperlink ref="A236" location="_5.02.03___Vías férreas" display="_5.02.03___Vías férreas" xr:uid="{00000000-0004-0000-0800-0000D8000000}"/>
    <hyperlink ref="A237" location="_5.02.04___Obras marítimas y fluvial" display="_5.02.04___Obras marítimas y fluvial" xr:uid="{00000000-0004-0000-0800-0000D9000000}"/>
    <hyperlink ref="A238" location="_5.02.05__" display="_5.02.05__" xr:uid="{00000000-0004-0000-0800-0000DA000000}"/>
    <hyperlink ref="A239" location="_5.02.06__" display="_5.02.06__" xr:uid="{00000000-0004-0000-0800-0000DB000000}"/>
    <hyperlink ref="A240" location="_5.02.07__" display="_5.02.07__" xr:uid="{00000000-0004-0000-0800-0000DC000000}"/>
    <hyperlink ref="A241" location="_5.02.99__" display="_5.02.99__" xr:uid="{00000000-0004-0000-0800-0000DD000000}"/>
    <hyperlink ref="A243" location="_5.03__" display="_5.03__" xr:uid="{00000000-0004-0000-0800-0000DE000000}"/>
    <hyperlink ref="B243" location="_5.03__" display="_5.03__" xr:uid="{00000000-0004-0000-0800-0000DF000000}"/>
    <hyperlink ref="A244" location="_5.03.01__" display="_5.03.01__" xr:uid="{00000000-0004-0000-0800-0000E0000000}"/>
    <hyperlink ref="A245" location="_5.03.02__" display="_5.03.02__" xr:uid="{00000000-0004-0000-0800-0000E1000000}"/>
    <hyperlink ref="A246" location="_5.03.99__" display="_5.03.99__" xr:uid="{00000000-0004-0000-0800-0000E2000000}"/>
    <hyperlink ref="A248" location="_5.99__" display="_5.99__" xr:uid="{00000000-0004-0000-0800-0000E3000000}"/>
    <hyperlink ref="B248" location="_5.99__" display="_5.99__" xr:uid="{00000000-0004-0000-0800-0000E4000000}"/>
    <hyperlink ref="A249" location="_5.99.01___1" display="_5.99.01___1" xr:uid="{00000000-0004-0000-0800-0000E5000000}"/>
    <hyperlink ref="A250" location="_5.99.02__" display="_5.99.02__" xr:uid="{00000000-0004-0000-0800-0000E6000000}"/>
    <hyperlink ref="A251" location="_5.99.03__" display="_5.99.03__" xr:uid="{00000000-0004-0000-0800-0000E7000000}"/>
    <hyperlink ref="A252" location="_5.99.99__" display="_5.99.99__" xr:uid="{00000000-0004-0000-0800-0000E8000000}"/>
    <hyperlink ref="A254" location="_6_TRANSFERENCIAS_CORRIENTES_4" display="_6_TRANSFERENCIAS_CORRIENTES_4" xr:uid="{00000000-0004-0000-0800-0000E9000000}"/>
    <hyperlink ref="A255" location="_6.01__" display="_6.01__" xr:uid="{00000000-0004-0000-0800-0000EA000000}"/>
    <hyperlink ref="B255" location="_6.01__" display="_6.01__" xr:uid="{00000000-0004-0000-0800-0000EB000000}"/>
    <hyperlink ref="A256" location="_6.01.01__" display="_6.01.01__" xr:uid="{00000000-0004-0000-0800-0000EC000000}"/>
    <hyperlink ref="A257" location="_6.01.02__" display="_6.01.02__" xr:uid="{00000000-0004-0000-0800-0000ED000000}"/>
    <hyperlink ref="A258" location="_6.01.03__" display="_6.01.03__" xr:uid="{00000000-0004-0000-0800-0000EE000000}"/>
    <hyperlink ref="A259" location="_6.01.04__" display="_6.01.04__" xr:uid="{00000000-0004-0000-0800-0000EF000000}"/>
    <hyperlink ref="A260" location="_6.01.05__" display="_6.01.05__" xr:uid="{00000000-0004-0000-0800-0000F0000000}"/>
    <hyperlink ref="A261" location="_6.01.06__" display="_6.01.06__" xr:uid="{00000000-0004-0000-0800-0000F1000000}"/>
    <hyperlink ref="A262" location="_6.01.07__" display="_6.01.07__" xr:uid="{00000000-0004-0000-0800-0000F2000000}"/>
    <hyperlink ref="A263" location="_6.01.08__" display="_6.01.08__" xr:uid="{00000000-0004-0000-0800-0000F3000000}"/>
    <hyperlink ref="A264" location="_6.01.09__" display="_6.01.09__" xr:uid="{00000000-0004-0000-0800-0000F4000000}"/>
    <hyperlink ref="A266" location="_6.02___1" display="_6.02___1" xr:uid="{00000000-0004-0000-0800-0000F5000000}"/>
    <hyperlink ref="B266" location="_6.02___1" display="_6.02___1" xr:uid="{00000000-0004-0000-0800-0000F6000000}"/>
    <hyperlink ref="A267" location="_6.02.01__" display="_6.02.01__" xr:uid="{00000000-0004-0000-0800-0000F7000000}"/>
    <hyperlink ref="A268" location="_6.02.02__" display="_6.02.02__" xr:uid="{00000000-0004-0000-0800-0000F8000000}"/>
    <hyperlink ref="A269" location="_6.02.03__" display="_6.02.03__" xr:uid="{00000000-0004-0000-0800-0000F9000000}"/>
    <hyperlink ref="A270" location="_6.02.99__" display="_6.02.99__" xr:uid="{00000000-0004-0000-0800-0000FA000000}"/>
    <hyperlink ref="A272" location="_6.03__" display="_6.03__" xr:uid="{00000000-0004-0000-0800-0000FB000000}"/>
    <hyperlink ref="B272" location="_6.03__" display="_6.03__" xr:uid="{00000000-0004-0000-0800-0000FC000000}"/>
    <hyperlink ref="A273" location="_6.03.01___Prestaciones legales_1" display="_6.03.01___Prestaciones legales_1" xr:uid="{00000000-0004-0000-0800-0000FD000000}"/>
    <hyperlink ref="A274" location="_6.03.02__" display="_6.03.02__" xr:uid="{00000000-0004-0000-0800-0000FE000000}"/>
    <hyperlink ref="A275" location="_6.03.03__" display="_6.03.03__" xr:uid="{00000000-0004-0000-0800-0000FF000000}"/>
    <hyperlink ref="A276" location="_6.03.04__" display="_6.03.04__" xr:uid="{00000000-0004-0000-0800-000000010000}"/>
    <hyperlink ref="A277" location="_6.03.05__Cuota" display="_6.03.05__Cuota" xr:uid="{00000000-0004-0000-0800-000001010000}"/>
    <hyperlink ref="A278" location="_6.03.99___1" display="_6.03.99___1" xr:uid="{00000000-0004-0000-0800-000002010000}"/>
    <hyperlink ref="A280" location="_6.04__" display="_6.04__" xr:uid="{00000000-0004-0000-0800-000003010000}"/>
    <hyperlink ref="A281" location="_6.04.01__" display="_6.04.01__" xr:uid="{00000000-0004-0000-0800-000004010000}"/>
    <hyperlink ref="A282" location="_6.04.02__" display="_6.04.02__" xr:uid="{00000000-0004-0000-0800-000005010000}"/>
    <hyperlink ref="A283" location="_6.04.03___1" display="_6.04.03___1" xr:uid="{00000000-0004-0000-0800-000006010000}"/>
    <hyperlink ref="A284" location="_6.04.04__" display="_6.04.04__" xr:uid="{00000000-0004-0000-0800-000007010000}"/>
    <hyperlink ref="A286" location="_6.05__" display="_6.05__" xr:uid="{00000000-0004-0000-0800-000008010000}"/>
    <hyperlink ref="A287" location="_6.05.01__" display="_6.05.01__" xr:uid="{00000000-0004-0000-0800-000009010000}"/>
    <hyperlink ref="A289" location="_6.06__" display="_6.06__" xr:uid="{00000000-0004-0000-0800-00000A010000}"/>
    <hyperlink ref="B289" location="_6.06__" display="_6.06__" xr:uid="{00000000-0004-0000-0800-00000B010000}"/>
    <hyperlink ref="A290" location="_6.06.01___1" display="_6.06.01___1" xr:uid="{00000000-0004-0000-0800-00000C010000}"/>
    <hyperlink ref="A291" location="_6.06.02__" display="_6.06.02__" xr:uid="{00000000-0004-0000-0800-00000D010000}"/>
    <hyperlink ref="A293" location="_6.07__" display="_6.07__" xr:uid="{00000000-0004-0000-0800-00000E010000}"/>
    <hyperlink ref="B293" location="_6.07__" display="_6.07__" xr:uid="{00000000-0004-0000-0800-00000F010000}"/>
    <hyperlink ref="A294" location="_6.07.01__" display="_6.07.01__" xr:uid="{00000000-0004-0000-0800-000010010000}"/>
    <hyperlink ref="A295" location="_6.07.02___1" display="_6.07.02___1" xr:uid="{00000000-0004-0000-0800-000011010000}"/>
    <hyperlink ref="A297" location="_7__" display="_7__" xr:uid="{00000000-0004-0000-0800-000012010000}"/>
    <hyperlink ref="A298" location="_7.01__" display="_7.01__" xr:uid="{00000000-0004-0000-0800-000013010000}"/>
    <hyperlink ref="B298" location="_7.01__" display="_7.01__" xr:uid="{00000000-0004-0000-0800-000014010000}"/>
    <hyperlink ref="A299" location="_7.01.01__" display="_7.01.01__" xr:uid="{00000000-0004-0000-0800-000015010000}"/>
    <hyperlink ref="A300" location="_7.01.02__" display="_7.01.02__" xr:uid="{00000000-0004-0000-0800-000016010000}"/>
    <hyperlink ref="A301" location="_7.01.03__" display="_7.01.03__" xr:uid="{00000000-0004-0000-0800-000017010000}"/>
    <hyperlink ref="A302" location="_7.01.04__" display="_7.01.04__" xr:uid="{00000000-0004-0000-0800-000018010000}"/>
    <hyperlink ref="A304" location="_7.01.06__" display="_7.01.06__" xr:uid="{00000000-0004-0000-0800-000019010000}"/>
    <hyperlink ref="A305" location="_7.01.07__" display="_7.01.07__" xr:uid="{00000000-0004-0000-0800-00001A010000}"/>
    <hyperlink ref="A307" location="_7.02__" display="_7.02__" xr:uid="{00000000-0004-0000-0800-00001B010000}"/>
    <hyperlink ref="A308" location="_7.02.01__Transferencias" display="_7.02.01__Transferencias" xr:uid="{00000000-0004-0000-0800-00001C010000}"/>
    <hyperlink ref="A310" location="_7.03___1" display="_7.03___1" xr:uid="{00000000-0004-0000-0800-00001D010000}"/>
    <hyperlink ref="B310" location="_7.03___1" display="_7.03___1" xr:uid="{00000000-0004-0000-0800-00001E010000}"/>
    <hyperlink ref="A311" location="_7.03.01__" display="_7.03.01__" xr:uid="{00000000-0004-0000-0800-00001F010000}"/>
    <hyperlink ref="A312" location="_7.03.02__" display="_7.03.02__" xr:uid="{00000000-0004-0000-0800-000020010000}"/>
    <hyperlink ref="A313" location="_7.03.03__" display="_7.03.03__" xr:uid="{00000000-0004-0000-0800-000021010000}"/>
    <hyperlink ref="A314" location="_7.03.99_Transferencias_de" display="_7.03.99_Transferencias_de" xr:uid="{00000000-0004-0000-0800-000022010000}"/>
    <hyperlink ref="A316" location="_7.04___1" display="_7.04___1" xr:uid="{00000000-0004-0000-0800-000023010000}"/>
    <hyperlink ref="A317" location="_7.04.01__" display="_7.04.01__" xr:uid="{00000000-0004-0000-0800-000024010000}"/>
    <hyperlink ref="A319" location="_7.05__" display="_7.05__" xr:uid="{00000000-0004-0000-0800-000025010000}"/>
    <hyperlink ref="B319" location="_7.05__" display="_7.05__" xr:uid="{00000000-0004-0000-0800-000026010000}"/>
    <hyperlink ref="A320" location="_7.05.01_Transferencias_de" display="_7.05.01_Transferencias_de" xr:uid="{00000000-0004-0000-0800-000027010000}"/>
    <hyperlink ref="A321" location="_7.05.02__" display="_7.05.02__" xr:uid="{00000000-0004-0000-0800-000028010000}"/>
    <hyperlink ref="A323" location="_8_AMORTIZACION_2" display="_8_AMORTIZACION_2" xr:uid="{00000000-0004-0000-0800-000029010000}"/>
    <hyperlink ref="A324" location="_8.01_Amortización_de" display="_8.01_Amortización_de" xr:uid="{00000000-0004-0000-0800-00002A010000}"/>
    <hyperlink ref="B324" location="_8.01_Amortización_de" display="_8.01_Amortización_de" xr:uid="{00000000-0004-0000-0800-00002B010000}"/>
    <hyperlink ref="A325" location="_8.01.01__" display="_8.01.01__" xr:uid="{00000000-0004-0000-0800-00002C010000}"/>
    <hyperlink ref="A326" location="_8.01.02__" display="_8.01.02__" xr:uid="{00000000-0004-0000-0800-00002D010000}"/>
    <hyperlink ref="A327" location="_8.01.03___1" display="_8.01.03___1" xr:uid="{00000000-0004-0000-0800-00002E010000}"/>
    <hyperlink ref="A328" location="_8.01.04__" display="_8.01.04__" xr:uid="{00000000-0004-0000-0800-00002F010000}"/>
    <hyperlink ref="A330" location="_8.02_Amortización_de" display="_8.02_Amortización_de" xr:uid="{00000000-0004-0000-0800-000030010000}"/>
    <hyperlink ref="B330" location="_8.02_Amortización_de" display="_8.02_Amortización_de" xr:uid="{00000000-0004-0000-0800-000031010000}"/>
    <hyperlink ref="A331" location="_8.02.01__" display="_8.02.01__" xr:uid="{00000000-0004-0000-0800-000032010000}"/>
    <hyperlink ref="A332" location="_8.02.02__" display="_8.02.02__" xr:uid="{00000000-0004-0000-0800-000033010000}"/>
    <hyperlink ref="A333" location="_Amortización_de_préstamos" display="_Amortización_de_préstamos" xr:uid="{00000000-0004-0000-0800-000034010000}"/>
    <hyperlink ref="A334" location="_8.02.04__" display="_8.02.04__" xr:uid="{00000000-0004-0000-0800-000035010000}"/>
    <hyperlink ref="A335" location="_8.02.05__" display="_8.02.05__" xr:uid="{00000000-0004-0000-0800-000036010000}"/>
    <hyperlink ref="A336" location="_8.02.06__" display="_8.02.06__" xr:uid="{00000000-0004-0000-0800-000037010000}"/>
    <hyperlink ref="A337" location="_8.02.07__" display="_8.02.07__" xr:uid="{00000000-0004-0000-0800-000038010000}"/>
    <hyperlink ref="A338" location="_8.02.08__" display="_8.02.08__" xr:uid="{00000000-0004-0000-0800-000039010000}"/>
    <hyperlink ref="A340" location="_9___1" display="_9___1" xr:uid="{00000000-0004-0000-0800-00003A010000}"/>
    <hyperlink ref="A341" location="_Hlt506371758" display="_Hlt506371758" xr:uid="{00000000-0004-0000-0800-00003B010000}"/>
    <hyperlink ref="B341" location="_Hlt506371758" display="_Hlt506371758" xr:uid="{00000000-0004-0000-0800-00003C010000}"/>
    <hyperlink ref="A342" location="_9.01.03__" display="_9.01.03__" xr:uid="{00000000-0004-0000-0800-00003D010000}"/>
    <hyperlink ref="A345" location="_9.02__" display="_9.02__" xr:uid="{00000000-0004-0000-0800-00003E010000}"/>
    <hyperlink ref="B345" location="_9.02__" display="_9.02__" xr:uid="{00000000-0004-0000-0800-00003F010000}"/>
    <hyperlink ref="A346" location="_9.02.01__" display="_9.02.01__" xr:uid="{00000000-0004-0000-0800-000040010000}"/>
    <hyperlink ref="A347" location="_9.02.02__" display="_9.02.02__" xr:uid="{00000000-0004-0000-0800-000041010000}"/>
    <hyperlink ref="B9" location="_0__REMUNERACIONES" display="_0__REMUNERACIONES" xr:uid="{00000000-0004-0000-0800-000042010000}"/>
    <hyperlink ref="B11" location="_0.01.01_Sueldos_para_cargos fijos" display="_0.01.01_Sueldos_para_cargos fijos" xr:uid="{00000000-0004-0000-0800-000043010000}"/>
    <hyperlink ref="B12" location="_0.01.02_Jornales" display="_0.01.02_Jornales" xr:uid="{00000000-0004-0000-0800-000044010000}"/>
    <hyperlink ref="B13" location="_0.01.03___Servicios especiales" display="_0.01.03___Servicios especiales" xr:uid="{00000000-0004-0000-0800-000045010000}"/>
    <hyperlink ref="B14" location="_0.01.04___  Sueldos a base de comis" display="_0.01.04___  Sueldos a base de comis" xr:uid="{00000000-0004-0000-0800-000046010000}"/>
    <hyperlink ref="B15" location="_0.01.05_Suplencias" display="_0.01.05_Suplencias" xr:uid="{00000000-0004-0000-0800-000047010000}"/>
    <hyperlink ref="B18" location="_0.02.01_Tiempo_extraordinario" display="_0.02.01_Tiempo_extraordinario" xr:uid="{00000000-0004-0000-0800-000048010000}"/>
    <hyperlink ref="B19" location="_0.02.02_Recargo_de_funciones" display="_0.02.02_Recargo_de_funciones" xr:uid="{00000000-0004-0000-0800-000049010000}"/>
    <hyperlink ref="B20" location="_0.02.03___  Disponibilidad laboral" display="_0.02.03___  Disponibilidad laboral" xr:uid="{00000000-0004-0000-0800-00004A010000}"/>
    <hyperlink ref="B21" location="_Hlt506206007" display="_Hlt506206007" xr:uid="{00000000-0004-0000-0800-00004B010000}"/>
    <hyperlink ref="B22" location="_0.01.05__" display="_0.01.05__" xr:uid="{00000000-0004-0000-0800-00004C010000}"/>
    <hyperlink ref="B25" location="_Hlt506206189" display="_Hlt506206189" xr:uid="{00000000-0004-0000-0800-00004D010000}"/>
    <hyperlink ref="B26" location="_0.03.02_Restricción_al_ejercicio  l" display="_0.03.02_Restricción_al_ejercicio  l" xr:uid="{00000000-0004-0000-0800-00004E010000}"/>
    <hyperlink ref="B27" location="_0.03.03___ Decimotercer mes" display="_0.03.03___ Decimotercer mes" xr:uid="{00000000-0004-0000-0800-00004F010000}"/>
    <hyperlink ref="B28" location="_0.03.04___ Salario escolar" display="_0.03.04___ Salario escolar" xr:uid="{00000000-0004-0000-0800-000050010000}"/>
    <hyperlink ref="B29" location="_0.03.99__" display="_0.03.99__" xr:uid="{00000000-0004-0000-0800-000051010000}"/>
    <hyperlink ref="B33" location="_Contribución_Patronal_al" display="_Contribución_Patronal_al" xr:uid="{00000000-0004-0000-0800-000052010000}"/>
    <hyperlink ref="B34" location="_0.04.02__" display="_0.04.02__" xr:uid="{00000000-0004-0000-0800-000053010000}"/>
    <hyperlink ref="B35" location="_0.04.03___     Contribución Patrona" display="_0.04.03___     Contribución Patrona" xr:uid="{00000000-0004-0000-0800-000054010000}"/>
    <hyperlink ref="B37" location="_0.04.05___ Contribución Patronal al" display="_0.04.05___ Contribución Patronal al" xr:uid="{00000000-0004-0000-0800-000055010000}"/>
    <hyperlink ref="B41" location="_0.05.01___Contribución Patronal al " display="_0.05.01___Contribución Patronal al " xr:uid="{00000000-0004-0000-0800-000056010000}"/>
    <hyperlink ref="B42" location="_0.05.02__" display="_0.05.02__" xr:uid="{00000000-0004-0000-0800-000057010000}"/>
    <hyperlink ref="B43" location="_0.05.03___ Aporte Patronal al Fondo" display="_0.05.03___ Aporte Patronal al Fondo" xr:uid="{00000000-0004-0000-0800-000058010000}"/>
    <hyperlink ref="B44" location="_0.05.04___ Contribución  patronal a" display="_0.05.04___ Contribución  patronal a" xr:uid="{00000000-0004-0000-0800-000059010000}"/>
    <hyperlink ref="B45" location="_0.05.05___Contribución  patronal a " display="_0.05.05___Contribución  patronal a " xr:uid="{00000000-0004-0000-0800-00005A010000}"/>
    <hyperlink ref="A44" location="_0.05.04___ Contribución  patronal a" display="_0.05.04___ Contribución  patronal a" xr:uid="{00000000-0004-0000-0800-00005B010000}"/>
    <hyperlink ref="B47" location="OLE_LINK8" display="OLE_LINK8" xr:uid="{00000000-0004-0000-0800-00005C010000}"/>
    <hyperlink ref="A49" location="_0.99.99__" display="_0.99.99__" xr:uid="{00000000-0004-0000-0800-00005D010000}"/>
    <hyperlink ref="B48" location="_0.99.01___Gastos de representación " display="_0.99.01___Gastos de representación " xr:uid="{00000000-0004-0000-0800-00005E010000}"/>
    <hyperlink ref="B49" location="_0.99.99__" display="_0.99.99__" xr:uid="{00000000-0004-0000-0800-00005F010000}"/>
    <hyperlink ref="B51" location="_1___4" display="_1___4" xr:uid="{00000000-0004-0000-0800-000060010000}"/>
    <hyperlink ref="B53" location="_1.01.01___Alquiler de edificios, lo" display="_1.01.01___Alquiler de edificios, lo" xr:uid="{00000000-0004-0000-0800-000061010000}"/>
    <hyperlink ref="B54" location="_Hlt506254949" display="_Hlt506254949" xr:uid="{00000000-0004-0000-0800-000062010000}"/>
    <hyperlink ref="B55" location="_1.01.03___ Alquiler de equipo de có" display="_1.01.03___ Alquiler de equipo de có" xr:uid="{00000000-0004-0000-0800-000063010000}"/>
    <hyperlink ref="B56" location="_1.01.04___Alquiler y derechos para " display="_1.01.04___Alquiler y derechos para " xr:uid="{00000000-0004-0000-0800-000064010000}"/>
    <hyperlink ref="B57" location="_1.01.99___Otros alquileres" display="_1.01.99___Otros alquileres" xr:uid="{00000000-0004-0000-0800-000065010000}"/>
    <hyperlink ref="B60" location="_1.02.01___Servicio de agua y alcant" display="_1.02.01___Servicio de agua y alcant" xr:uid="{00000000-0004-0000-0800-000066010000}"/>
    <hyperlink ref="B61" location="_1.02.02__" display="_1.02.02__" xr:uid="{00000000-0004-0000-0800-000067010000}"/>
    <hyperlink ref="B62" location="_1.02.03___ Servicio de correo" display="_1.02.03___ Servicio de correo" xr:uid="{00000000-0004-0000-0800-000068010000}"/>
    <hyperlink ref="B63" location="_1.02.04___ Servicio de telecomunica" display="_1.02.04___ Servicio de telecomunica" xr:uid="{00000000-0004-0000-0800-000069010000}"/>
    <hyperlink ref="B64" location="_1.02.99___Otros servicios básicos" display="_1.02.99___Otros servicios básicos" xr:uid="{00000000-0004-0000-0800-00006A010000}"/>
    <hyperlink ref="B67" location="_Hlt506255274" display="_Hlt506255274" xr:uid="{00000000-0004-0000-0800-00006B010000}"/>
    <hyperlink ref="B68" location="_1.03.02__" display="_1.03.02__" xr:uid="{00000000-0004-0000-0800-00006C010000}"/>
    <hyperlink ref="B69" location="_1.03.03___Impresión, encuadernación" display="_1.03.03___Impresión, encuadernación" xr:uid="{00000000-0004-0000-0800-00006D010000}"/>
    <hyperlink ref="B70" location="_1.03.04___   Transporte de bienes" display="_1.03.04___   Transporte de bienes" xr:uid="{00000000-0004-0000-0800-00006E010000}"/>
    <hyperlink ref="B71" location="_1.03.05__" display="_1.03.05__" xr:uid="{00000000-0004-0000-0800-00006F010000}"/>
    <hyperlink ref="B72" location="_1.03.06___Comisiones y gastos por s" display="_1.03.06___Comisiones y gastos por s" xr:uid="{00000000-0004-0000-0800-000070010000}"/>
    <hyperlink ref="B73" location="_1.03.07___Servicios de transferenci" display="_1.03.07___Servicios de transferenci" xr:uid="{00000000-0004-0000-0800-000071010000}"/>
    <hyperlink ref="B76" location="_1.04.01___Servicios médicos y de la" display="_1.04.01___Servicios médicos y de la" xr:uid="{00000000-0004-0000-0800-000072010000}"/>
    <hyperlink ref="B77" location="_1.04.02___Servicios jurídicos" display="_1.04.02___Servicios jurídicos" xr:uid="{00000000-0004-0000-0800-000073010000}"/>
    <hyperlink ref="B78" location="_1.04.03___Servicios de ingeniería" display="_1.04.03___Servicios de ingeniería" xr:uid="{00000000-0004-0000-0800-000074010000}"/>
    <hyperlink ref="B79" location="_1.04.04___Servicios en ciencias eco" display="_1.04.04___Servicios en ciencias eco" xr:uid="{00000000-0004-0000-0800-000075010000}"/>
    <hyperlink ref="B80" location="_1.04.05___Servicios de desarrollo d" display="_1.04.05___Servicios de desarrollo d" xr:uid="{00000000-0004-0000-0800-000076010000}"/>
    <hyperlink ref="B81" location="_1.04.06___Servicios generales" display="_1.04.06___Servicios generales" xr:uid="{00000000-0004-0000-0800-000077010000}"/>
    <hyperlink ref="B82" location="_1.04.99___Otros servicios de gestió" display="_1.04.99___Otros servicios de gestió" xr:uid="{00000000-0004-0000-0800-000078010000}"/>
    <hyperlink ref="B85" location="_1.05.01___Transporte dentro del paí" display="_1.05.01___Transporte dentro del paí" xr:uid="{00000000-0004-0000-0800-000079010000}"/>
    <hyperlink ref="B86" location="_1.05.02___  Viáticos dentro del paí" display="_1.05.02___  Viáticos dentro del paí" xr:uid="{00000000-0004-0000-0800-00007A010000}"/>
    <hyperlink ref="B87" location="_1.05.03__" display="_1.05.03__" xr:uid="{00000000-0004-0000-0800-00007B010000}"/>
    <hyperlink ref="B88" location="_1.05.04___Viáticos en el exterior" display="_1.05.04___Viáticos en el exterior" xr:uid="{00000000-0004-0000-0800-00007C010000}"/>
    <hyperlink ref="B91" location="_1.06.01__Seguros" display="_1.06.01__Seguros" xr:uid="{00000000-0004-0000-0800-00007D010000}"/>
    <hyperlink ref="B92" location="_1.06.02___Reaseguros" display="_1.06.02___Reaseguros" xr:uid="{00000000-0004-0000-0800-00007E010000}"/>
    <hyperlink ref="B93" location="_1.06.03___Obligaciones por contrato" display="_1.06.03___Obligaciones por contrato" xr:uid="{00000000-0004-0000-0800-00007F010000}"/>
    <hyperlink ref="B96" location="_Hlt506361970" display="_Hlt506361970" xr:uid="{00000000-0004-0000-0800-000080010000}"/>
    <hyperlink ref="B97" location="_1.07.02___Actividades protocolarias" display="_1.07.02___Actividades protocolarias" xr:uid="{00000000-0004-0000-0800-000081010000}"/>
    <hyperlink ref="B98" location="_1.07.03___Gastos de representación " display="_1.07.03___Gastos de representación " xr:uid="{00000000-0004-0000-0800-000082010000}"/>
    <hyperlink ref="B101" location="_1.08.01___Mantenimiento de edificio" display="_1.08.01___Mantenimiento de edificio" xr:uid="{00000000-0004-0000-0800-000083010000}"/>
    <hyperlink ref="B102" location="_1.08.02___Mantenimiento de vías de " display="_1.08.02___Mantenimiento de vías de " xr:uid="{00000000-0004-0000-0800-000084010000}"/>
    <hyperlink ref="B103" location="_1.08.03___Mantenimiento de instalac" display="_1.08.03___Mantenimiento de instalac" xr:uid="{00000000-0004-0000-0800-000085010000}"/>
    <hyperlink ref="B104" location="_1.08.04___Mantenimiento y reparació" display="_1.08.04___Mantenimiento y reparació" xr:uid="{00000000-0004-0000-0800-000086010000}"/>
    <hyperlink ref="B105" location="_1.08.05___Mantenimiento y reparació" display="_1.08.05___Mantenimiento y reparació" xr:uid="{00000000-0004-0000-0800-000087010000}"/>
    <hyperlink ref="B106" location="_1.08.06___  Mantenimiento y reparac" display="_1.08.06___  Mantenimiento y reparac" xr:uid="{00000000-0004-0000-0800-000088010000}"/>
    <hyperlink ref="B107" location="_1.08.07___Mantenimiento y reparació" display="_1.08.07___Mantenimiento y reparació" xr:uid="{00000000-0004-0000-0800-000089010000}"/>
    <hyperlink ref="B108" location="_1.08.08___Mantenimiento y reparació" display="_1.08.08___Mantenimiento y reparació" xr:uid="{00000000-0004-0000-0800-00008A010000}"/>
    <hyperlink ref="B109" location="_1.08.99___Mantenimiento y reparació" display="_1.08.99___Mantenimiento y reparació" xr:uid="{00000000-0004-0000-0800-00008B010000}"/>
    <hyperlink ref="B112" location="_1.09.01___Impuestos sobre ingresos " display="_1.09.01___Impuestos sobre ingresos " xr:uid="{00000000-0004-0000-0800-00008C010000}"/>
    <hyperlink ref="B113" location="_1.09.02___Impuestos sobre bienes in_1" display="_1.09.02___Impuestos sobre bienes in_1" xr:uid="{00000000-0004-0000-0800-00008D010000}"/>
    <hyperlink ref="B114" location="_1.09.03___Impuestos de patentes" display="_1.09.03___Impuestos de patentes" xr:uid="{00000000-0004-0000-0800-00008E010000}"/>
    <hyperlink ref="B115" location="_1.09.99__" display="_1.09.99__" xr:uid="{00000000-0004-0000-0800-00008F010000}"/>
    <hyperlink ref="B118" location="_1.99.01___  Servicios de regulación" display="_1.99.01___  Servicios de regulación" xr:uid="{00000000-0004-0000-0800-000090010000}"/>
    <hyperlink ref="B119" location="_1.99.02___  Intereses moratorios y " display="_1.99.02___  Intereses moratorios y " xr:uid="{00000000-0004-0000-0800-000091010000}"/>
    <hyperlink ref="B120" location="_1.99.03___  Gastos de oficinas en e" display="_1.99.03___  Gastos de oficinas en e" xr:uid="{00000000-0004-0000-0800-000092010000}"/>
    <hyperlink ref="B121" location="_1.99.04__" display="_1.99.04__" xr:uid="{00000000-0004-0000-0800-000093010000}"/>
    <hyperlink ref="B122" location="_1.99.05___  Deducibles" display="_1.99.05___  Deducibles" xr:uid="{00000000-0004-0000-0800-000094010000}"/>
    <hyperlink ref="B123" location="_Hlt506356377" display="_Hlt506356377" xr:uid="{00000000-0004-0000-0800-000095010000}"/>
    <hyperlink ref="B125" location="_2___4" display="_2___4" xr:uid="{00000000-0004-0000-0800-000096010000}"/>
    <hyperlink ref="B127" location="_2.01.01___   Combustibles y lubrica_1" display="_2.01.01___   Combustibles y lubrica_1" xr:uid="{00000000-0004-0000-0800-000097010000}"/>
    <hyperlink ref="B128" location="_2.01.02___  Productos farmacéuticos" display="_2.01.02___  Productos farmacéuticos" xr:uid="{00000000-0004-0000-0800-000098010000}"/>
    <hyperlink ref="B129" location="_2.01.03___  Productos veterinarios" display="_2.01.03___  Productos veterinarios" xr:uid="{00000000-0004-0000-0800-000099010000}"/>
    <hyperlink ref="B130" location="_2.01.04___ Tintas, pinturas y diluy" display="_2.01.04___ Tintas, pinturas y diluy" xr:uid="{00000000-0004-0000-0800-00009A010000}"/>
    <hyperlink ref="B131" location="_2.01.99___  Otros productos químico" display="_2.01.99___  Otros productos químico" xr:uid="{00000000-0004-0000-0800-00009B010000}"/>
    <hyperlink ref="B134" location="_2.02.01__" display="_2.02.01__" xr:uid="{00000000-0004-0000-0800-00009C010000}"/>
    <hyperlink ref="B135" location="_2.02.02___Productos agroforestales" display="_2.02.02___Productos agroforestales" xr:uid="{00000000-0004-0000-0800-00009D010000}"/>
    <hyperlink ref="B136" location="_2.02.03___Alimentos y bebidas" display="_2.02.03___Alimentos y bebidas" xr:uid="{00000000-0004-0000-0800-00009E010000}"/>
    <hyperlink ref="B137" location="_2.02.04___1" display="_2.02.04___1" xr:uid="{00000000-0004-0000-0800-00009F010000}"/>
    <hyperlink ref="B140" location="_2.03__" display="_2.03__" xr:uid="{00000000-0004-0000-0800-0000A0010000}"/>
    <hyperlink ref="B141" location="_2.03.01___   Materiales y productos_1" display="_2.03.01___   Materiales y productos_1" xr:uid="{00000000-0004-0000-0800-0000A1010000}"/>
    <hyperlink ref="B142" location="_2.03.02___   Materiales y productos_1" display="_2.03.02___   Materiales y productos_1" xr:uid="{00000000-0004-0000-0800-0000A2010000}"/>
    <hyperlink ref="B143" location="_2.03.03___    Madera y sus derivado_1" display="_2.03.03___    Madera y sus derivado_1" xr:uid="{00000000-0004-0000-0800-0000A3010000}"/>
    <hyperlink ref="B144" location="_2.03.04___  Materiales y productos _1" display="_2.03.04___  Materiales y productos _1" xr:uid="{00000000-0004-0000-0800-0000A4010000}"/>
    <hyperlink ref="B145" location="_2.03.05___    Materiales y producto_1" display="_2.03.05___    Materiales y producto_1" xr:uid="{00000000-0004-0000-0800-0000A5010000}"/>
    <hyperlink ref="B146" location="_Hlt506356393" display="_Hlt506356393" xr:uid="{00000000-0004-0000-0800-0000A6010000}"/>
    <hyperlink ref="B147" location="_2.03.99___   Otros materiales y pro_1" display="_2.03.99___   Otros materiales y pro_1" xr:uid="{00000000-0004-0000-0800-0000A7010000}"/>
    <hyperlink ref="B150" location="_2.04.01___   Herramientas e instrum_1" display="_2.04.01___   Herramientas e instrum_1" xr:uid="{00000000-0004-0000-0800-0000A8010000}"/>
    <hyperlink ref="B151" location="_2.04.02__" display="_2.04.02__" xr:uid="{00000000-0004-0000-0800-0000A9010000}"/>
    <hyperlink ref="B153" location="_2.05__" display="_2.05__" xr:uid="{00000000-0004-0000-0800-0000AA010000}"/>
    <hyperlink ref="B154" location="_2.05.01___Materia prima_1" display="_2.05.01___Materia prima_1" xr:uid="{00000000-0004-0000-0800-0000AB010000}"/>
    <hyperlink ref="B155" location="_2.05.02___Productos terminados_1" display="_2.05.02___Productos terminados_1" xr:uid="{00000000-0004-0000-0800-0000AC010000}"/>
    <hyperlink ref="B156" location="_2.05.03___Energía eléctrica_1" display="_2.05.03___Energía eléctrica_1" xr:uid="{00000000-0004-0000-0800-0000AD010000}"/>
    <hyperlink ref="B157" location="_Hlt506373174" display="_Hlt506373174" xr:uid="{00000000-0004-0000-0800-0000AE010000}"/>
    <hyperlink ref="B160" location="_2.99.01__" display="_2.99.01__" xr:uid="{00000000-0004-0000-0800-0000AF010000}"/>
    <hyperlink ref="B161" location="_2.99.02___ Útiles y materiales médi" display="_2.99.02___ Útiles y materiales médi" xr:uid="{00000000-0004-0000-0800-0000B0010000}"/>
    <hyperlink ref="B162" location="_2.99.03__" display="_2.99.03__" xr:uid="{00000000-0004-0000-0800-0000B1010000}"/>
    <hyperlink ref="B163" location="_2.99.04__" display="_2.99.04__" xr:uid="{00000000-0004-0000-0800-0000B2010000}"/>
    <hyperlink ref="B164" location="_2.99.05___ Útiles y materiales de l" display="_2.99.05___ Útiles y materiales de l" xr:uid="{00000000-0004-0000-0800-0000B3010000}"/>
    <hyperlink ref="B165" location="_2.99.06__" display="_2.99.06__" xr:uid="{00000000-0004-0000-0800-0000B4010000}"/>
    <hyperlink ref="B166" location="_2.99.07__" display="_2.99.07__" xr:uid="{00000000-0004-0000-0800-0000B5010000}"/>
    <hyperlink ref="B167" location="_2.99.99__" display="_2.99.99__" xr:uid="{00000000-0004-0000-0800-0000B6010000}"/>
    <hyperlink ref="B169" location="_3___1" display="_3___1" xr:uid="{00000000-0004-0000-0800-0000B7010000}"/>
    <hyperlink ref="B171" location="_3.01.01__" display="_3.01.01__" xr:uid="{00000000-0004-0000-0800-0000B8010000}"/>
    <hyperlink ref="B172" location="_3.01.02___1" display="_3.01.02___1" xr:uid="{00000000-0004-0000-0800-0000B9010000}"/>
    <hyperlink ref="B173" location="_3.01.03__Intereses" display="_3.01.03__Intereses" xr:uid="{00000000-0004-0000-0800-0000BA010000}"/>
    <hyperlink ref="B174" location="_3.01.04__Intereses" display="_3.01.04__Intereses" xr:uid="{00000000-0004-0000-0800-0000BB010000}"/>
    <hyperlink ref="B177" location="_3.02.01__" display="_3.02.01__" xr:uid="{00000000-0004-0000-0800-0000BC010000}"/>
    <hyperlink ref="B178" location="_3.02.02__" display="_3.02.02__" xr:uid="{00000000-0004-0000-0800-0000BD010000}"/>
    <hyperlink ref="B179" location="_3.02.03___1" display="_3.02.03___1" xr:uid="{00000000-0004-0000-0800-0000BE010000}"/>
    <hyperlink ref="B180" location="_3.02.04___Intereses sobre préstamos" display="_3.02.04___Intereses sobre préstamos" xr:uid="{00000000-0004-0000-0800-0000BF010000}"/>
    <hyperlink ref="B181" location="_3.02.05__" display="_3.02.05__" xr:uid="{00000000-0004-0000-0800-0000C0010000}"/>
    <hyperlink ref="B182" location="_3.02.06__" display="_3.02.06__" xr:uid="{00000000-0004-0000-0800-0000C1010000}"/>
    <hyperlink ref="B183" location="_3.02.07__" display="_3.02.07__" xr:uid="{00000000-0004-0000-0800-0000C2010000}"/>
    <hyperlink ref="B184" location="_3.02.08__" display="_3.02.08__" xr:uid="{00000000-0004-0000-0800-0000C3010000}"/>
    <hyperlink ref="A186" location="_3.03__" display="_3.03__" xr:uid="{00000000-0004-0000-0800-0000C4010000}"/>
    <hyperlink ref="B187" location="_3.03.01__" display="_3.03.01__" xr:uid="{00000000-0004-0000-0800-0000C5010000}"/>
    <hyperlink ref="B188" location="_3.03.99___Intereses sobre otras obl" display="_3.03.99___Intereses sobre otras obl" xr:uid="{00000000-0004-0000-0800-0000C6010000}"/>
    <hyperlink ref="B191" location="_3.99.01__Comisiones" display="_3.99.01__Comisiones" xr:uid="{00000000-0004-0000-0800-0000C7010000}"/>
    <hyperlink ref="B192" location="_3.99.02__Comisiones" display="_3.99.02__Comisiones" xr:uid="{00000000-0004-0000-0800-0000C8010000}"/>
    <hyperlink ref="B193" location="_3.99.03__" display="_3.99.03__" xr:uid="{00000000-0004-0000-0800-0000C9010000}"/>
    <hyperlink ref="B194" location="_3.99.04__" display="_3.99.04__" xr:uid="{00000000-0004-0000-0800-0000CA010000}"/>
    <hyperlink ref="B195" location="_3.99.05__" display="_3.99.05__" xr:uid="{00000000-0004-0000-0800-0000CB010000}"/>
    <hyperlink ref="B199" location="_4.01.01__" display="_4.01.01__" xr:uid="{00000000-0004-0000-0800-0000CC010000}"/>
    <hyperlink ref="B200" location="_4.01.02__" display="_4.01.02__" xr:uid="{00000000-0004-0000-0800-0000CD010000}"/>
    <hyperlink ref="B201" location="_4.01.03__" display="_4.01.03__" xr:uid="{00000000-0004-0000-0800-0000CE010000}"/>
    <hyperlink ref="B202" location="_4.01.04__" display="_4.01.04__" xr:uid="{00000000-0004-0000-0800-0000CF010000}"/>
    <hyperlink ref="B203" location="_4.01.05__" display="_4.01.05__" xr:uid="{00000000-0004-0000-0800-0000D0010000}"/>
    <hyperlink ref="B204" location="_4.01.06__" display="_4.01.06__" xr:uid="{00000000-0004-0000-0800-0000D1010000}"/>
    <hyperlink ref="B205" location="_4.01.07__" display="_4.01.07__" xr:uid="{00000000-0004-0000-0800-0000D2010000}"/>
    <hyperlink ref="B206" location="_4.01.08__" display="_4.01.08__" xr:uid="{00000000-0004-0000-0800-0000D3010000}"/>
    <hyperlink ref="B209" location="_4.02.01__" display="_4.02.01__" xr:uid="{00000000-0004-0000-0800-0000D4010000}"/>
    <hyperlink ref="B210" location="_4.02.02__" display="_4.02.02__" xr:uid="{00000000-0004-0000-0800-0000D5010000}"/>
    <hyperlink ref="B211" location="_4.02.03__" display="_4.02.03__" xr:uid="{00000000-0004-0000-0800-0000D6010000}"/>
    <hyperlink ref="B212" location="_4.02.04__" display="_4.02.04__" xr:uid="{00000000-0004-0000-0800-0000D7010000}"/>
    <hyperlink ref="B213" location="_4.02.05___1" display="_4.02.05___1" xr:uid="{00000000-0004-0000-0800-0000D8010000}"/>
    <hyperlink ref="B214" location="_4.02.06__" display="_4.02.06__" xr:uid="{00000000-0004-0000-0800-0000D9010000}"/>
    <hyperlink ref="B215" location="_4.02.07__" display="_4.02.07__" xr:uid="{00000000-0004-0000-0800-0000DA010000}"/>
    <hyperlink ref="B216" location="_4.02.08__" display="_4.02.08__" xr:uid="{00000000-0004-0000-0800-0000DB010000}"/>
    <hyperlink ref="B219" location="_4.99.01__" display="_4.99.01__" xr:uid="{00000000-0004-0000-0800-0000DC010000}"/>
    <hyperlink ref="B220" location="_4.99.99__" display="_4.99.99__" xr:uid="{00000000-0004-0000-0800-0000DD010000}"/>
    <hyperlink ref="B222" location="_5___1" display="_5___1" xr:uid="{00000000-0004-0000-0800-0000DE010000}"/>
    <hyperlink ref="B224" location="_5.01.01__" display="_5.01.01__" xr:uid="{00000000-0004-0000-0800-0000DF010000}"/>
    <hyperlink ref="B225" location="_5.01.02___Equipo de transporte" display="_5.01.02___Equipo de transporte" xr:uid="{00000000-0004-0000-0800-0000E0010000}"/>
    <hyperlink ref="B226" location="_5.01.03__" display="_5.01.03__" xr:uid="{00000000-0004-0000-0800-0000E1010000}"/>
    <hyperlink ref="B227" location="_5.01.04___1" display="_5.01.04___1" xr:uid="{00000000-0004-0000-0800-0000E2010000}"/>
    <hyperlink ref="B228" location="_5.01.05__" display="_5.01.05__" xr:uid="{00000000-0004-0000-0800-0000E3010000}"/>
    <hyperlink ref="B229" location="_5.01.06__" display="_5.01.06__" xr:uid="{00000000-0004-0000-0800-0000E4010000}"/>
    <hyperlink ref="B230" location="_5.01.07___1" display="_5.01.07___1" xr:uid="{00000000-0004-0000-0800-0000E5010000}"/>
    <hyperlink ref="B231" location="_5.01.99__" display="_5.01.99__" xr:uid="{00000000-0004-0000-0800-0000E6010000}"/>
    <hyperlink ref="B234" location="_5.02.01___Edificios" display="_5.02.01___Edificios" xr:uid="{00000000-0004-0000-0800-0000E7010000}"/>
    <hyperlink ref="B235" location="_5.02.02__" display="_5.02.02__" xr:uid="{00000000-0004-0000-0800-0000E8010000}"/>
    <hyperlink ref="B236" location="_5.02.03___Vías férreas" display="_5.02.03___Vías férreas" xr:uid="{00000000-0004-0000-0800-0000E9010000}"/>
    <hyperlink ref="B237" location="_5.02.04___Obras marítimas y fluvial" display="_5.02.04___Obras marítimas y fluvial" xr:uid="{00000000-0004-0000-0800-0000EA010000}"/>
    <hyperlink ref="B238" location="_5.02.05__" display="_5.02.05__" xr:uid="{00000000-0004-0000-0800-0000EB010000}"/>
    <hyperlink ref="B239" location="_5.02.06__" display="_5.02.06__" xr:uid="{00000000-0004-0000-0800-0000EC010000}"/>
    <hyperlink ref="B240" location="_5.02.07__" display="_5.02.07__" xr:uid="{00000000-0004-0000-0800-0000ED010000}"/>
    <hyperlink ref="B241" location="_5.02.99__" display="_5.02.99__" xr:uid="{00000000-0004-0000-0800-0000EE010000}"/>
    <hyperlink ref="B244" location="_5.03.01__" display="_5.03.01__" xr:uid="{00000000-0004-0000-0800-0000EF010000}"/>
    <hyperlink ref="B245" location="_5.03.02__" display="_5.03.02__" xr:uid="{00000000-0004-0000-0800-0000F0010000}"/>
    <hyperlink ref="B246" location="_5.03.99__" display="_5.03.99__" xr:uid="{00000000-0004-0000-0800-0000F1010000}"/>
    <hyperlink ref="B249" location="_5.99.01___1" display="_5.99.01___1" xr:uid="{00000000-0004-0000-0800-0000F2010000}"/>
    <hyperlink ref="B250" location="_5.99.02__" display="_5.99.02__" xr:uid="{00000000-0004-0000-0800-0000F3010000}"/>
    <hyperlink ref="B251" location="_5.99.03__" display="_5.99.03__" xr:uid="{00000000-0004-0000-0800-0000F4010000}"/>
    <hyperlink ref="B252" location="_5.99.99__" display="_5.99.99__" xr:uid="{00000000-0004-0000-0800-0000F5010000}"/>
    <hyperlink ref="B254" location="_6_TRANSFERENCIAS_CORRIENTES_4" display="_6_TRANSFERENCIAS_CORRIENTES_4" xr:uid="{00000000-0004-0000-0800-0000F6010000}"/>
    <hyperlink ref="B267" location="_6.02.01__" display="_6.02.01__" xr:uid="{00000000-0004-0000-0800-0000F7010000}"/>
    <hyperlink ref="B268" location="_6.02.02__" display="_6.02.02__" xr:uid="{00000000-0004-0000-0800-0000F8010000}"/>
    <hyperlink ref="B269" location="_6.02.03__" display="_6.02.03__" xr:uid="{00000000-0004-0000-0800-0000F9010000}"/>
    <hyperlink ref="B270" location="_6.02.99__" display="_6.02.99__" xr:uid="{00000000-0004-0000-0800-0000FA010000}"/>
    <hyperlink ref="B273" location="_6.03.01___Prestaciones legales_1" display="_6.03.01___Prestaciones legales_1" xr:uid="{00000000-0004-0000-0800-0000FB010000}"/>
    <hyperlink ref="B274" location="_6.03.02__" display="_6.03.02__" xr:uid="{00000000-0004-0000-0800-0000FC010000}"/>
    <hyperlink ref="B275" location="_6.03.03__" display="_6.03.03__" xr:uid="{00000000-0004-0000-0800-0000FD010000}"/>
    <hyperlink ref="B276" location="_6.03.04__" display="_6.03.04__" xr:uid="{00000000-0004-0000-0800-0000FE010000}"/>
    <hyperlink ref="B277" location="_6.03.05__Cuota" display="_6.03.05__Cuota" xr:uid="{00000000-0004-0000-0800-0000FF010000}"/>
    <hyperlink ref="B278" location="_6.03.99___1" display="_6.03.99___1" xr:uid="{00000000-0004-0000-0800-000000020000}"/>
    <hyperlink ref="B280" location="_6.04__" display="_6.04__" xr:uid="{00000000-0004-0000-0800-000001020000}"/>
    <hyperlink ref="B281" location="_6.04.01__" display="_6.04.01__" xr:uid="{00000000-0004-0000-0800-000002020000}"/>
    <hyperlink ref="B282" location="_6.04.02__" display="_6.04.02__" xr:uid="{00000000-0004-0000-0800-000003020000}"/>
    <hyperlink ref="B283" location="_6.04.03___1" display="_6.04.03___1" xr:uid="{00000000-0004-0000-0800-000004020000}"/>
    <hyperlink ref="B284" location="_6.04.04__" display="_6.04.04__" xr:uid="{00000000-0004-0000-0800-000005020000}"/>
    <hyperlink ref="B286" location="_6.05__" display="_6.05__" xr:uid="{00000000-0004-0000-0800-000006020000}"/>
    <hyperlink ref="B287" location="_6.05.01__" display="_6.05.01__" xr:uid="{00000000-0004-0000-0800-000007020000}"/>
    <hyperlink ref="B290" location="_6.06.01___1" display="_6.06.01___1" xr:uid="{00000000-0004-0000-0800-000008020000}"/>
    <hyperlink ref="B291" location="_6.06.02__" display="_6.06.02__" xr:uid="{00000000-0004-0000-0800-000009020000}"/>
    <hyperlink ref="B294" location="_6.07.01__" display="_6.07.01__" xr:uid="{00000000-0004-0000-0800-00000A020000}"/>
    <hyperlink ref="B295" location="_6.07.02___1" display="_6.07.02___1" xr:uid="{00000000-0004-0000-0800-00000B020000}"/>
    <hyperlink ref="B256" location="_6.01.01__" display="_6.01.01__" xr:uid="{00000000-0004-0000-0800-00000C020000}"/>
    <hyperlink ref="B257" location="_6.01.02__" display="_6.01.02__" xr:uid="{00000000-0004-0000-0800-00000D020000}"/>
    <hyperlink ref="B258" location="_6.01.03__" display="_6.01.03__" xr:uid="{00000000-0004-0000-0800-00000E020000}"/>
    <hyperlink ref="B259" location="_6.01.04__" display="_6.01.04__" xr:uid="{00000000-0004-0000-0800-00000F020000}"/>
    <hyperlink ref="B260" location="_6.01.05__" display="_6.01.05__" xr:uid="{00000000-0004-0000-0800-000010020000}"/>
    <hyperlink ref="B261" location="_6.01.06__" display="_6.01.06__" xr:uid="{00000000-0004-0000-0800-000011020000}"/>
    <hyperlink ref="B262" location="_6.01.07__" display="_6.01.07__" xr:uid="{00000000-0004-0000-0800-000012020000}"/>
    <hyperlink ref="B263" location="_6.01.08__" display="_6.01.08__" xr:uid="{00000000-0004-0000-0800-000013020000}"/>
    <hyperlink ref="B264" location="_6.01.09__" display="_6.01.09__" xr:uid="{00000000-0004-0000-0800-000014020000}"/>
    <hyperlink ref="B297" location="_7__" display="_7__" xr:uid="{00000000-0004-0000-0800-000015020000}"/>
    <hyperlink ref="B299" location="_7.01.01__" display="_7.01.01__" xr:uid="{00000000-0004-0000-0800-000016020000}"/>
    <hyperlink ref="B300" location="_7.01.02__" display="_7.01.02__" xr:uid="{00000000-0004-0000-0800-000017020000}"/>
    <hyperlink ref="B301" location="_7.01.03__" display="_7.01.03__" xr:uid="{00000000-0004-0000-0800-000018020000}"/>
    <hyperlink ref="B302" location="_7.01.04__" display="_7.01.04__" xr:uid="{00000000-0004-0000-0800-000019020000}"/>
    <hyperlink ref="B303" location="_7.01.05__" display="_7.01.05__" xr:uid="{00000000-0004-0000-0800-00001A020000}"/>
    <hyperlink ref="B304" location="_7.01.06__" display="_7.01.06__" xr:uid="{00000000-0004-0000-0800-00001B020000}"/>
    <hyperlink ref="B305" location="_7.01.07__" display="_7.01.07__" xr:uid="{00000000-0004-0000-0800-00001C020000}"/>
    <hyperlink ref="B307" location="_7.02__" display="_7.02__" xr:uid="{00000000-0004-0000-0800-00001D020000}"/>
    <hyperlink ref="B308" location="_7.02.01__Transferencias" display="_7.02.01__Transferencias" xr:uid="{00000000-0004-0000-0800-00001E020000}"/>
    <hyperlink ref="B311" location="_7.03.01__" display="_7.03.01__" xr:uid="{00000000-0004-0000-0800-00001F020000}"/>
    <hyperlink ref="B312" location="_7.03.02__" display="_7.03.02__" xr:uid="{00000000-0004-0000-0800-000020020000}"/>
    <hyperlink ref="B313" location="_7.03.03__" display="_7.03.03__" xr:uid="{00000000-0004-0000-0800-000021020000}"/>
    <hyperlink ref="B314" location="_7.03.99_Transferencias_de" display="_7.03.99_Transferencias_de" xr:uid="{00000000-0004-0000-0800-000022020000}"/>
    <hyperlink ref="B316" location="_7.04___1" display="_7.04___1" xr:uid="{00000000-0004-0000-0800-000023020000}"/>
    <hyperlink ref="B317" location="_7.04.01__" display="_7.04.01__" xr:uid="{00000000-0004-0000-0800-000024020000}"/>
    <hyperlink ref="B320" location="_7.05.01_Transferencias_de" display="_7.05.01_Transferencias_de" xr:uid="{00000000-0004-0000-0800-000025020000}"/>
    <hyperlink ref="B321" location="_7.05.02__" display="_7.05.02__" xr:uid="{00000000-0004-0000-0800-000026020000}"/>
    <hyperlink ref="B323" location="_8_AMORTIZACION_2" display="_8_AMORTIZACION_2" xr:uid="{00000000-0004-0000-0800-000027020000}"/>
    <hyperlink ref="B325" location="_8.01.01__" display="_8.01.01__" xr:uid="{00000000-0004-0000-0800-000028020000}"/>
    <hyperlink ref="B326" location="_8.01.02__" display="_8.01.02__" xr:uid="{00000000-0004-0000-0800-000029020000}"/>
    <hyperlink ref="B327" location="_8.01.03___1" display="_8.01.03___1" xr:uid="{00000000-0004-0000-0800-00002A020000}"/>
    <hyperlink ref="B328" location="_8.01.04__" display="_8.01.04__" xr:uid="{00000000-0004-0000-0800-00002B020000}"/>
    <hyperlink ref="B331" location="_8.02.01__" display="_8.02.01__" xr:uid="{00000000-0004-0000-0800-00002C020000}"/>
    <hyperlink ref="B332" location="_8.02.02__" display="_8.02.02__" xr:uid="{00000000-0004-0000-0800-00002D020000}"/>
    <hyperlink ref="B333" location="_Amortización_de_préstamos" display="_Amortización_de_préstamos" xr:uid="{00000000-0004-0000-0800-00002E020000}"/>
    <hyperlink ref="B334" location="_8.02.04__" display="_8.02.04__" xr:uid="{00000000-0004-0000-0800-00002F020000}"/>
    <hyperlink ref="B335" location="_8.02.05__" display="_8.02.05__" xr:uid="{00000000-0004-0000-0800-000030020000}"/>
    <hyperlink ref="B336" location="_8.02.06__" display="_8.02.06__" xr:uid="{00000000-0004-0000-0800-000031020000}"/>
    <hyperlink ref="B337" location="_8.02.07__" display="_8.02.07__" xr:uid="{00000000-0004-0000-0800-000032020000}"/>
    <hyperlink ref="B338" location="_8.02.08__" display="_8.02.08__" xr:uid="{00000000-0004-0000-0800-000033020000}"/>
    <hyperlink ref="B340" location="_9___1" display="_9___1" xr:uid="{00000000-0004-0000-0800-000034020000}"/>
    <hyperlink ref="B342" location="_9.01.03__" display="_9.01.03__" xr:uid="{00000000-0004-0000-0800-000035020000}"/>
    <hyperlink ref="B346" location="_9.02.01__" display="_9.02.01__" xr:uid="{00000000-0004-0000-0800-000036020000}"/>
    <hyperlink ref="B347" location="_9.02.02__" display="_9.02.02__" xr:uid="{00000000-0004-0000-0800-000037020000}"/>
    <hyperlink ref="B197" location="_4__" display="_4__" xr:uid="{00000000-0004-0000-0800-000038020000}"/>
    <hyperlink ref="B32" location="OLE_LINK5" display="OLE_LINK5" xr:uid="{00000000-0004-0000-0800-000039020000}"/>
    <hyperlink ref="B40" location="OLE_LINK6" display="OLE_LINK6" xr:uid="{00000000-0004-0000-0800-00003A020000}"/>
    <hyperlink ref="A40" location="OLE_LINK6" display="OLE_LINK6" xr:uid="{00000000-0004-0000-0800-00003B020000}"/>
  </hyperlinks>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vt:i4>
      </vt:variant>
    </vt:vector>
  </HeadingPairs>
  <TitlesOfParts>
    <vt:vector size="25" baseType="lpstr">
      <vt:lpstr>Indice</vt:lpstr>
      <vt:lpstr>Ingreso Interno</vt:lpstr>
      <vt:lpstr>Ingreso Contraloría</vt:lpstr>
      <vt:lpstr>Distribucion Programas I</vt:lpstr>
      <vt:lpstr>Distribucion Programas II </vt:lpstr>
      <vt:lpstr>Distribucion Programas III UTGV</vt:lpstr>
      <vt:lpstr>Distrib Programas III Poyectos</vt:lpstr>
      <vt:lpstr>Distrib programa IV Proyectos</vt:lpstr>
      <vt:lpstr>Egresos Interno</vt:lpstr>
      <vt:lpstr>Egresos X Partida</vt:lpstr>
      <vt:lpstr>Programas</vt:lpstr>
      <vt:lpstr>Egresos Contraloría</vt:lpstr>
      <vt:lpstr>Egresos Detallado</vt:lpstr>
      <vt:lpstr>O y A</vt:lpstr>
      <vt:lpstr>Origen y Aplicacion de Recursos</vt:lpstr>
      <vt:lpstr>Estructura organizacional</vt:lpstr>
      <vt:lpstr>Salario Alcalde</vt:lpstr>
      <vt:lpstr>Relacion de Puestos</vt:lpstr>
      <vt:lpstr>Relacion de Puestos Vial</vt:lpstr>
      <vt:lpstr>Relacion de puestos CECCUDI</vt:lpstr>
      <vt:lpstr>Deuda Interna</vt:lpstr>
      <vt:lpstr>Tranferencias</vt:lpstr>
      <vt:lpstr>Gastos de Viaje y Transporte </vt:lpstr>
      <vt:lpstr>Hoja1</vt:lpstr>
      <vt:lpstr>'O y 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CECUDI LOS CHILES</cp:lastModifiedBy>
  <cp:lastPrinted>2020-08-28T15:08:32Z</cp:lastPrinted>
  <dcterms:created xsi:type="dcterms:W3CDTF">2005-07-28T15:01:20Z</dcterms:created>
  <dcterms:modified xsi:type="dcterms:W3CDTF">2020-09-01T20:18:08Z</dcterms:modified>
</cp:coreProperties>
</file>